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macie\Documents\2. Inwestycje\2. Shakti Investments\1. Projects\Aranaya Residence\4. Exit\WWW\"/>
    </mc:Choice>
  </mc:AlternateContent>
  <xr:revisionPtr revIDLastSave="0" documentId="8_{6E30BE02-B696-4E75-A33E-81E429F02E55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Boutique Hotel" sheetId="1" r:id="rId1"/>
    <sheet name="Retreat Center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0" i="1" l="1" a="1"/>
  <c r="B30" i="1" s="1"/>
  <c r="AB32" i="1"/>
  <c r="Z62" i="2"/>
  <c r="Y62" i="2"/>
  <c r="X62" i="2"/>
  <c r="W62" i="2"/>
  <c r="V62" i="2"/>
  <c r="S62" i="2"/>
  <c r="B62" i="2"/>
  <c r="Z61" i="2"/>
  <c r="Y61" i="2"/>
  <c r="X61" i="2"/>
  <c r="W61" i="2"/>
  <c r="V61" i="2"/>
  <c r="S61" i="2"/>
  <c r="B61" i="2"/>
  <c r="Z60" i="2"/>
  <c r="Y60" i="2"/>
  <c r="X60" i="2"/>
  <c r="W60" i="2"/>
  <c r="V60" i="2"/>
  <c r="S60" i="2"/>
  <c r="B60" i="2"/>
  <c r="Z59" i="2"/>
  <c r="Y59" i="2"/>
  <c r="X59" i="2"/>
  <c r="W59" i="2"/>
  <c r="V59" i="2"/>
  <c r="S59" i="2"/>
  <c r="B59" i="2"/>
  <c r="Z58" i="2"/>
  <c r="Y58" i="2"/>
  <c r="X58" i="2"/>
  <c r="W58" i="2"/>
  <c r="V58" i="2"/>
  <c r="S58" i="2"/>
  <c r="B58" i="2"/>
  <c r="Z57" i="2"/>
  <c r="Y57" i="2"/>
  <c r="X57" i="2"/>
  <c r="W57" i="2"/>
  <c r="V57" i="2"/>
  <c r="S57" i="2"/>
  <c r="B57" i="2"/>
  <c r="Z56" i="2"/>
  <c r="Y56" i="2"/>
  <c r="X56" i="2"/>
  <c r="W56" i="2"/>
  <c r="V56" i="2"/>
  <c r="S56" i="2"/>
  <c r="B56" i="2"/>
  <c r="Z55" i="2"/>
  <c r="Y55" i="2"/>
  <c r="X55" i="2"/>
  <c r="W55" i="2"/>
  <c r="V55" i="2"/>
  <c r="S55" i="2"/>
  <c r="B55" i="2"/>
  <c r="Z54" i="2"/>
  <c r="Y54" i="2"/>
  <c r="X54" i="2"/>
  <c r="W54" i="2"/>
  <c r="V54" i="2"/>
  <c r="S54" i="2"/>
  <c r="B54" i="2"/>
  <c r="Z53" i="2"/>
  <c r="Y53" i="2"/>
  <c r="X53" i="2"/>
  <c r="W53" i="2"/>
  <c r="V53" i="2"/>
  <c r="S53" i="2"/>
  <c r="B53" i="2"/>
  <c r="Z52" i="2"/>
  <c r="Y52" i="2"/>
  <c r="X52" i="2"/>
  <c r="W52" i="2"/>
  <c r="V52" i="2"/>
  <c r="S52" i="2"/>
  <c r="B52" i="2"/>
  <c r="Z51" i="2"/>
  <c r="Y51" i="2"/>
  <c r="X51" i="2"/>
  <c r="W51" i="2"/>
  <c r="V51" i="2"/>
  <c r="S51" i="2"/>
  <c r="B51" i="2"/>
  <c r="Z50" i="2"/>
  <c r="Y50" i="2"/>
  <c r="X50" i="2"/>
  <c r="W50" i="2"/>
  <c r="V50" i="2"/>
  <c r="S50" i="2"/>
  <c r="B50" i="2"/>
  <c r="Z49" i="2"/>
  <c r="Y49" i="2"/>
  <c r="X49" i="2"/>
  <c r="W49" i="2"/>
  <c r="V49" i="2"/>
  <c r="S49" i="2"/>
  <c r="B49" i="2"/>
  <c r="Z48" i="2"/>
  <c r="Y48" i="2"/>
  <c r="X48" i="2"/>
  <c r="W48" i="2"/>
  <c r="V48" i="2"/>
  <c r="S48" i="2"/>
  <c r="B48" i="2"/>
  <c r="Z47" i="2"/>
  <c r="Y47" i="2"/>
  <c r="X47" i="2"/>
  <c r="W47" i="2"/>
  <c r="V47" i="2"/>
  <c r="S47" i="2"/>
  <c r="B47" i="2"/>
  <c r="Z46" i="2"/>
  <c r="Y46" i="2"/>
  <c r="X46" i="2"/>
  <c r="W46" i="2"/>
  <c r="V46" i="2"/>
  <c r="S46" i="2"/>
  <c r="B46" i="2"/>
  <c r="Z45" i="2"/>
  <c r="Y45" i="2"/>
  <c r="X45" i="2"/>
  <c r="W45" i="2"/>
  <c r="V45" i="2"/>
  <c r="S45" i="2"/>
  <c r="B45" i="2"/>
  <c r="Z44" i="2"/>
  <c r="Y44" i="2"/>
  <c r="X44" i="2"/>
  <c r="W44" i="2"/>
  <c r="V44" i="2"/>
  <c r="S44" i="2"/>
  <c r="B44" i="2"/>
  <c r="Z43" i="2"/>
  <c r="Y43" i="2"/>
  <c r="X43" i="2"/>
  <c r="W43" i="2"/>
  <c r="V43" i="2"/>
  <c r="S43" i="2"/>
  <c r="B43" i="2"/>
  <c r="Z42" i="2"/>
  <c r="Y42" i="2"/>
  <c r="X42" i="2"/>
  <c r="W42" i="2"/>
  <c r="V42" i="2"/>
  <c r="S42" i="2"/>
  <c r="B42" i="2"/>
  <c r="Z41" i="2"/>
  <c r="Y41" i="2"/>
  <c r="X41" i="2"/>
  <c r="W41" i="2"/>
  <c r="V41" i="2"/>
  <c r="S41" i="2"/>
  <c r="B41" i="2"/>
  <c r="Z40" i="2"/>
  <c r="Y40" i="2"/>
  <c r="X40" i="2"/>
  <c r="W40" i="2"/>
  <c r="V40" i="2"/>
  <c r="S40" i="2"/>
  <c r="B40" i="2"/>
  <c r="Z39" i="2"/>
  <c r="Y39" i="2"/>
  <c r="X39" i="2"/>
  <c r="W39" i="2"/>
  <c r="V39" i="2"/>
  <c r="S39" i="2"/>
  <c r="B39" i="2"/>
  <c r="Z38" i="2"/>
  <c r="Y38" i="2"/>
  <c r="X38" i="2"/>
  <c r="W38" i="2"/>
  <c r="V38" i="2"/>
  <c r="S38" i="2"/>
  <c r="B38" i="2"/>
  <c r="Z37" i="2"/>
  <c r="Y37" i="2"/>
  <c r="X37" i="2"/>
  <c r="W37" i="2"/>
  <c r="V37" i="2"/>
  <c r="S37" i="2"/>
  <c r="B37" i="2"/>
  <c r="Z36" i="2"/>
  <c r="Y36" i="2"/>
  <c r="X36" i="2"/>
  <c r="W36" i="2"/>
  <c r="V36" i="2"/>
  <c r="S36" i="2"/>
  <c r="B36" i="2"/>
  <c r="AA35" i="2"/>
  <c r="AA36" i="2" s="1"/>
  <c r="AA37" i="2" s="1"/>
  <c r="AA38" i="2" s="1"/>
  <c r="AA39" i="2" s="1"/>
  <c r="AA40" i="2" s="1"/>
  <c r="AA41" i="2" s="1"/>
  <c r="AA42" i="2" s="1"/>
  <c r="AA43" i="2" s="1"/>
  <c r="AA44" i="2" s="1"/>
  <c r="AA45" i="2" s="1"/>
  <c r="AA46" i="2" s="1"/>
  <c r="AA47" i="2" s="1"/>
  <c r="AA48" i="2" s="1"/>
  <c r="AA49" i="2" s="1"/>
  <c r="AA50" i="2" s="1"/>
  <c r="AA51" i="2" s="1"/>
  <c r="AA52" i="2" s="1"/>
  <c r="AA53" i="2" s="1"/>
  <c r="AA54" i="2" s="1"/>
  <c r="AA55" i="2" s="1"/>
  <c r="AA56" i="2" s="1"/>
  <c r="AA57" i="2" s="1"/>
  <c r="AA58" i="2" s="1"/>
  <c r="AA59" i="2" s="1"/>
  <c r="AA60" i="2" s="1"/>
  <c r="AA61" i="2" s="1"/>
  <c r="AA62" i="2" s="1"/>
  <c r="Z35" i="2"/>
  <c r="Y35" i="2"/>
  <c r="X35" i="2"/>
  <c r="W35" i="2"/>
  <c r="V35" i="2"/>
  <c r="S35" i="2"/>
  <c r="B35" i="2"/>
  <c r="AJ34" i="2"/>
  <c r="AB34" i="2" s="1"/>
  <c r="S34" i="2"/>
  <c r="F34" i="2"/>
  <c r="K34" i="2" s="1"/>
  <c r="E34" i="2"/>
  <c r="I34" i="2" s="1"/>
  <c r="D34" i="2"/>
  <c r="J34" i="2" s="1"/>
  <c r="AJ33" i="2"/>
  <c r="AB33" i="2" s="1"/>
  <c r="P33" i="2" s="1"/>
  <c r="S33" i="2"/>
  <c r="F33" i="2"/>
  <c r="K33" i="2" s="1"/>
  <c r="E33" i="2"/>
  <c r="I33" i="2" s="1"/>
  <c r="D33" i="2"/>
  <c r="J33" i="2" s="1"/>
  <c r="AJ32" i="2"/>
  <c r="AB32" i="2" s="1"/>
  <c r="P32" i="2" s="1"/>
  <c r="S32" i="2"/>
  <c r="F32" i="2"/>
  <c r="K32" i="2" s="1"/>
  <c r="E32" i="2"/>
  <c r="I32" i="2" s="1"/>
  <c r="D32" i="2"/>
  <c r="J32" i="2" s="1"/>
  <c r="AJ31" i="2"/>
  <c r="AB31" i="2" s="1"/>
  <c r="P31" i="2" s="1"/>
  <c r="S31" i="2"/>
  <c r="F31" i="2"/>
  <c r="K31" i="2" s="1"/>
  <c r="E31" i="2"/>
  <c r="I31" i="2" s="1"/>
  <c r="D31" i="2"/>
  <c r="J31" i="2" s="1"/>
  <c r="AJ30" i="2"/>
  <c r="AB30" i="2" s="1"/>
  <c r="P30" i="2" s="1"/>
  <c r="S30" i="2"/>
  <c r="F30" i="2"/>
  <c r="K30" i="2" s="1"/>
  <c r="E30" i="2"/>
  <c r="I30" i="2" s="1"/>
  <c r="D30" i="2"/>
  <c r="J30" i="2" s="1"/>
  <c r="AJ29" i="2"/>
  <c r="AB29" i="2" s="1"/>
  <c r="P29" i="2" s="1"/>
  <c r="S29" i="2"/>
  <c r="F29" i="2"/>
  <c r="K29" i="2" s="1"/>
  <c r="E29" i="2"/>
  <c r="I29" i="2" s="1"/>
  <c r="D29" i="2"/>
  <c r="J29" i="2" s="1"/>
  <c r="AJ28" i="2"/>
  <c r="AB28" i="2" s="1"/>
  <c r="P28" i="2" s="1"/>
  <c r="S28" i="2"/>
  <c r="F28" i="2"/>
  <c r="K28" i="2" s="1"/>
  <c r="E28" i="2"/>
  <c r="I28" i="2" s="1"/>
  <c r="D28" i="2"/>
  <c r="J28" i="2" s="1"/>
  <c r="B20" i="2"/>
  <c r="B22" i="2" s="1"/>
  <c r="B15" i="2"/>
  <c r="B11" i="2"/>
  <c r="B7" i="2"/>
  <c r="P70" i="1"/>
  <c r="B70" i="1"/>
  <c r="P69" i="1"/>
  <c r="B69" i="1"/>
  <c r="P68" i="1"/>
  <c r="B68" i="1"/>
  <c r="P67" i="1"/>
  <c r="B67" i="1"/>
  <c r="P66" i="1"/>
  <c r="B66" i="1"/>
  <c r="P65" i="1"/>
  <c r="B65" i="1"/>
  <c r="P64" i="1"/>
  <c r="B64" i="1"/>
  <c r="P63" i="1"/>
  <c r="B63" i="1"/>
  <c r="P62" i="1"/>
  <c r="B62" i="1"/>
  <c r="P61" i="1"/>
  <c r="B61" i="1"/>
  <c r="P60" i="1"/>
  <c r="B60" i="1"/>
  <c r="P59" i="1"/>
  <c r="B59" i="1"/>
  <c r="P58" i="1"/>
  <c r="B58" i="1"/>
  <c r="P57" i="1"/>
  <c r="B57" i="1"/>
  <c r="P56" i="1"/>
  <c r="B56" i="1"/>
  <c r="P55" i="1"/>
  <c r="B55" i="1"/>
  <c r="P54" i="1"/>
  <c r="B54" i="1"/>
  <c r="P53" i="1"/>
  <c r="B53" i="1"/>
  <c r="P52" i="1"/>
  <c r="B52" i="1"/>
  <c r="P51" i="1"/>
  <c r="B51" i="1"/>
  <c r="P50" i="1"/>
  <c r="B50" i="1"/>
  <c r="P49" i="1"/>
  <c r="B49" i="1"/>
  <c r="P48" i="1"/>
  <c r="B48" i="1"/>
  <c r="P47" i="1"/>
  <c r="B47" i="1"/>
  <c r="P46" i="1"/>
  <c r="B46" i="1"/>
  <c r="P45" i="1"/>
  <c r="B45" i="1"/>
  <c r="P44" i="1"/>
  <c r="B44" i="1"/>
  <c r="V43" i="1"/>
  <c r="P43" i="1"/>
  <c r="B43" i="1"/>
  <c r="AD42" i="1"/>
  <c r="V42" i="1" s="1"/>
  <c r="M42" i="1" s="1"/>
  <c r="P42" i="1"/>
  <c r="AD41" i="1"/>
  <c r="V41" i="1" s="1"/>
  <c r="M41" i="1" s="1"/>
  <c r="P41" i="1"/>
  <c r="AD40" i="1"/>
  <c r="V40" i="1"/>
  <c r="M40" i="1" s="1"/>
  <c r="P40" i="1"/>
  <c r="C40" i="1"/>
  <c r="AD39" i="1"/>
  <c r="V39" i="1" s="1"/>
  <c r="M39" i="1" s="1"/>
  <c r="S39" i="1"/>
  <c r="D39" i="1" s="1"/>
  <c r="H39" i="1" s="1"/>
  <c r="P39" i="1"/>
  <c r="AD38" i="1"/>
  <c r="V38" i="1" s="1"/>
  <c r="M38" i="1" s="1"/>
  <c r="P38" i="1"/>
  <c r="AD37" i="1"/>
  <c r="V37" i="1" s="1"/>
  <c r="M37" i="1" s="1"/>
  <c r="P37" i="1"/>
  <c r="AD36" i="1"/>
  <c r="V36" i="1" s="1"/>
  <c r="M36" i="1" s="1"/>
  <c r="P36" i="1"/>
  <c r="U42" i="1"/>
  <c r="U43" i="1" s="1"/>
  <c r="U44" i="1" s="1"/>
  <c r="U45" i="1" s="1"/>
  <c r="U46" i="1" s="1"/>
  <c r="U47" i="1" s="1"/>
  <c r="U48" i="1" s="1"/>
  <c r="U49" i="1" s="1"/>
  <c r="U50" i="1" s="1"/>
  <c r="U51" i="1" s="1"/>
  <c r="U52" i="1" s="1"/>
  <c r="U53" i="1" s="1"/>
  <c r="U54" i="1" s="1"/>
  <c r="U55" i="1" s="1"/>
  <c r="U56" i="1" s="1"/>
  <c r="U57" i="1" s="1"/>
  <c r="U58" i="1" s="1"/>
  <c r="U59" i="1" s="1"/>
  <c r="U60" i="1" s="1"/>
  <c r="U61" i="1" s="1"/>
  <c r="U62" i="1" s="1"/>
  <c r="U63" i="1" s="1"/>
  <c r="U64" i="1" s="1"/>
  <c r="U65" i="1" s="1"/>
  <c r="U66" i="1" s="1"/>
  <c r="U67" i="1" s="1"/>
  <c r="U68" i="1" s="1"/>
  <c r="U69" i="1" s="1"/>
  <c r="U70" i="1" s="1"/>
  <c r="AB31" i="1"/>
  <c r="U41" i="1" s="1"/>
  <c r="AB30" i="1"/>
  <c r="U40" i="1" s="1"/>
  <c r="AB29" i="1"/>
  <c r="U39" i="1" s="1"/>
  <c r="AB28" i="1"/>
  <c r="U38" i="1" s="1"/>
  <c r="AB27" i="1"/>
  <c r="U37" i="1" s="1"/>
  <c r="AB26" i="1"/>
  <c r="U36" i="1" s="1"/>
  <c r="B26" i="1"/>
  <c r="C41" i="1" s="1"/>
  <c r="G41" i="1" s="1"/>
  <c r="AC22" i="1"/>
  <c r="T42" i="1" s="1"/>
  <c r="T64" i="1" s="1"/>
  <c r="AC21" i="1"/>
  <c r="T41" i="1" s="1"/>
  <c r="AC20" i="1"/>
  <c r="T40" i="1" s="1"/>
  <c r="AC19" i="1"/>
  <c r="T39" i="1" s="1"/>
  <c r="AC18" i="1"/>
  <c r="T38" i="1" s="1"/>
  <c r="AC17" i="1"/>
  <c r="T37" i="1" s="1"/>
  <c r="AC16" i="1"/>
  <c r="T36" i="1" s="1"/>
  <c r="B15" i="1"/>
  <c r="B17" i="1" s="1"/>
  <c r="B18" i="1" s="1"/>
  <c r="AC12" i="1"/>
  <c r="S42" i="1" s="1"/>
  <c r="S62" i="1" s="1"/>
  <c r="AC11" i="1"/>
  <c r="S41" i="1" s="1"/>
  <c r="D41" i="1" s="1"/>
  <c r="H41" i="1" s="1"/>
  <c r="B11" i="1"/>
  <c r="AC10" i="1"/>
  <c r="S40" i="1" s="1"/>
  <c r="D40" i="1" s="1"/>
  <c r="H40" i="1" s="1"/>
  <c r="AC9" i="1"/>
  <c r="AC8" i="1"/>
  <c r="S38" i="1" s="1"/>
  <c r="D38" i="1" s="1"/>
  <c r="H38" i="1" s="1"/>
  <c r="AC7" i="1"/>
  <c r="S37" i="1" s="1"/>
  <c r="D37" i="1" s="1"/>
  <c r="H37" i="1" s="1"/>
  <c r="B7" i="1"/>
  <c r="AC6" i="1"/>
  <c r="S36" i="1" s="1"/>
  <c r="D36" i="1" s="1"/>
  <c r="H36" i="1" s="1"/>
  <c r="E41" i="1" l="1"/>
  <c r="I41" i="1" s="1"/>
  <c r="E36" i="1"/>
  <c r="I36" i="1" s="1"/>
  <c r="E37" i="1"/>
  <c r="I37" i="1" s="1"/>
  <c r="E38" i="1"/>
  <c r="I38" i="1" s="1"/>
  <c r="C36" i="1"/>
  <c r="E40" i="1"/>
  <c r="I40" i="1" s="1"/>
  <c r="S54" i="1"/>
  <c r="B19" i="1"/>
  <c r="B76" i="1" s="1"/>
  <c r="T54" i="1"/>
  <c r="E39" i="1"/>
  <c r="I39" i="1" s="1"/>
  <c r="G36" i="1"/>
  <c r="F36" i="1"/>
  <c r="B17" i="2"/>
  <c r="B18" i="2" s="1"/>
  <c r="B19" i="2" s="1"/>
  <c r="B68" i="2" s="1"/>
  <c r="F41" i="1"/>
  <c r="T67" i="1"/>
  <c r="T68" i="1"/>
  <c r="T59" i="1"/>
  <c r="T55" i="1"/>
  <c r="T51" i="1"/>
  <c r="T47" i="1"/>
  <c r="T43" i="1"/>
  <c r="E42" i="1"/>
  <c r="I42" i="1" s="1"/>
  <c r="T63" i="1"/>
  <c r="T60" i="1"/>
  <c r="T56" i="1"/>
  <c r="T52" i="1"/>
  <c r="T48" i="1"/>
  <c r="T44" i="1"/>
  <c r="T69" i="1"/>
  <c r="T66" i="1"/>
  <c r="T70" i="1"/>
  <c r="T65" i="1"/>
  <c r="T61" i="1"/>
  <c r="T57" i="1"/>
  <c r="T53" i="1"/>
  <c r="T49" i="1"/>
  <c r="T45" i="1"/>
  <c r="S50" i="1"/>
  <c r="T50" i="1"/>
  <c r="T62" i="1"/>
  <c r="V44" i="1"/>
  <c r="M43" i="1"/>
  <c r="G40" i="1"/>
  <c r="F40" i="1"/>
  <c r="S70" i="1"/>
  <c r="S68" i="1"/>
  <c r="S64" i="1"/>
  <c r="S45" i="1"/>
  <c r="S61" i="1"/>
  <c r="S53" i="1"/>
  <c r="S59" i="1"/>
  <c r="S55" i="1"/>
  <c r="S51" i="1"/>
  <c r="S47" i="1"/>
  <c r="S43" i="1"/>
  <c r="S57" i="1"/>
  <c r="D42" i="1"/>
  <c r="H42" i="1" s="1"/>
  <c r="S67" i="1"/>
  <c r="S63" i="1"/>
  <c r="S60" i="1"/>
  <c r="S56" i="1"/>
  <c r="S52" i="1"/>
  <c r="S48" i="1"/>
  <c r="S44" i="1"/>
  <c r="S69" i="1"/>
  <c r="S66" i="1"/>
  <c r="S65" i="1"/>
  <c r="S49" i="1"/>
  <c r="S46" i="1"/>
  <c r="S58" i="1"/>
  <c r="T46" i="1"/>
  <c r="T58" i="1"/>
  <c r="C32" i="2"/>
  <c r="G32" i="2" s="1"/>
  <c r="C28" i="2"/>
  <c r="G28" i="2" s="1"/>
  <c r="C33" i="2"/>
  <c r="G33" i="2" s="1"/>
  <c r="C29" i="2"/>
  <c r="G29" i="2" s="1"/>
  <c r="C34" i="2"/>
  <c r="G34" i="2" s="1"/>
  <c r="C30" i="2"/>
  <c r="G30" i="2" s="1"/>
  <c r="C31" i="2"/>
  <c r="G31" i="2" s="1"/>
  <c r="P34" i="2"/>
  <c r="AB35" i="2"/>
  <c r="C39" i="1"/>
  <c r="C38" i="1"/>
  <c r="C42" i="1"/>
  <c r="C37" i="1"/>
  <c r="B70" i="2" l="1"/>
  <c r="O32" i="2"/>
  <c r="N32" i="2"/>
  <c r="M32" i="2"/>
  <c r="L32" i="2"/>
  <c r="H32" i="2"/>
  <c r="L41" i="1"/>
  <c r="K41" i="1"/>
  <c r="J41" i="1"/>
  <c r="N41" i="1" s="1"/>
  <c r="O41" i="1" s="1"/>
  <c r="Q41" i="1" s="1"/>
  <c r="H76" i="1" s="1"/>
  <c r="H34" i="2"/>
  <c r="G35" i="2"/>
  <c r="O34" i="2"/>
  <c r="N34" i="2"/>
  <c r="L34" i="2"/>
  <c r="M34" i="2"/>
  <c r="G37" i="1"/>
  <c r="F37" i="1"/>
  <c r="G42" i="1"/>
  <c r="F42" i="1"/>
  <c r="G38" i="1"/>
  <c r="F38" i="1"/>
  <c r="G39" i="1"/>
  <c r="F39" i="1"/>
  <c r="L36" i="1"/>
  <c r="K36" i="1"/>
  <c r="J36" i="1"/>
  <c r="V45" i="1"/>
  <c r="M44" i="1"/>
  <c r="O28" i="2"/>
  <c r="N28" i="2"/>
  <c r="M28" i="2"/>
  <c r="L28" i="2"/>
  <c r="H28" i="2"/>
  <c r="AB36" i="2"/>
  <c r="P35" i="2"/>
  <c r="H29" i="2"/>
  <c r="O29" i="2"/>
  <c r="M29" i="2"/>
  <c r="L29" i="2"/>
  <c r="N29" i="2"/>
  <c r="L40" i="1"/>
  <c r="K40" i="1"/>
  <c r="J40" i="1"/>
  <c r="N40" i="1" s="1"/>
  <c r="O40" i="1" s="1"/>
  <c r="Q40" i="1" s="1"/>
  <c r="G76" i="1" s="1"/>
  <c r="H33" i="2"/>
  <c r="O33" i="2"/>
  <c r="N33" i="2"/>
  <c r="M33" i="2"/>
  <c r="L33" i="2"/>
  <c r="N31" i="2"/>
  <c r="L31" i="2"/>
  <c r="H31" i="2"/>
  <c r="O31" i="2"/>
  <c r="M31" i="2"/>
  <c r="H30" i="2"/>
  <c r="O30" i="2"/>
  <c r="N30" i="2"/>
  <c r="L30" i="2"/>
  <c r="M30" i="2"/>
  <c r="B78" i="1"/>
  <c r="Q32" i="2" l="1"/>
  <c r="R32" i="2" s="1"/>
  <c r="T32" i="2" s="1"/>
  <c r="G68" i="2" s="1"/>
  <c r="N36" i="1"/>
  <c r="O36" i="1" s="1"/>
  <c r="Q36" i="1" s="1"/>
  <c r="C76" i="1"/>
  <c r="R36" i="1"/>
  <c r="Q29" i="2"/>
  <c r="R29" i="2" s="1"/>
  <c r="T29" i="2" s="1"/>
  <c r="D68" i="2" s="1"/>
  <c r="C78" i="1"/>
  <c r="Q30" i="2"/>
  <c r="R30" i="2" s="1"/>
  <c r="T30" i="2" s="1"/>
  <c r="E68" i="2" s="1"/>
  <c r="L37" i="1"/>
  <c r="K37" i="1"/>
  <c r="J37" i="1"/>
  <c r="Q33" i="2"/>
  <c r="R33" i="2" s="1"/>
  <c r="T33" i="2" s="1"/>
  <c r="H68" i="2" s="1"/>
  <c r="K42" i="1"/>
  <c r="F43" i="1"/>
  <c r="L42" i="1"/>
  <c r="J42" i="1"/>
  <c r="AB37" i="2"/>
  <c r="P36" i="2"/>
  <c r="J39" i="1"/>
  <c r="L39" i="1"/>
  <c r="K39" i="1"/>
  <c r="M35" i="2"/>
  <c r="G36" i="2"/>
  <c r="H35" i="2"/>
  <c r="F35" i="2"/>
  <c r="K35" i="2" s="1"/>
  <c r="E35" i="2"/>
  <c r="I35" i="2" s="1"/>
  <c r="D35" i="2"/>
  <c r="J35" i="2" s="1"/>
  <c r="N35" i="2"/>
  <c r="O35" i="2"/>
  <c r="L35" i="2"/>
  <c r="C35" i="2"/>
  <c r="M45" i="1"/>
  <c r="V46" i="1"/>
  <c r="Q28" i="2"/>
  <c r="R28" i="2" s="1"/>
  <c r="T28" i="2" s="1"/>
  <c r="Q31" i="2"/>
  <c r="R31" i="2" s="1"/>
  <c r="T31" i="2" s="1"/>
  <c r="F68" i="2" s="1"/>
  <c r="K38" i="1"/>
  <c r="L38" i="1"/>
  <c r="J38" i="1"/>
  <c r="Q34" i="2"/>
  <c r="R34" i="2" s="1"/>
  <c r="T34" i="2" s="1"/>
  <c r="I68" i="2" s="1"/>
  <c r="N42" i="1" l="1"/>
  <c r="O42" i="1" s="1"/>
  <c r="Q42" i="1" s="1"/>
  <c r="I76" i="1" s="1"/>
  <c r="N37" i="1"/>
  <c r="O37" i="1" s="1"/>
  <c r="Q37" i="1" s="1"/>
  <c r="D76" i="1" s="1"/>
  <c r="N39" i="1"/>
  <c r="O39" i="1" s="1"/>
  <c r="Q39" i="1" s="1"/>
  <c r="F76" i="1" s="1"/>
  <c r="N38" i="1"/>
  <c r="O38" i="1" s="1"/>
  <c r="Q38" i="1" s="1"/>
  <c r="E76" i="1" s="1"/>
  <c r="AB38" i="2"/>
  <c r="P37" i="2"/>
  <c r="D78" i="1"/>
  <c r="E78" i="1" s="1"/>
  <c r="F78" i="1" s="1"/>
  <c r="G78" i="1" s="1"/>
  <c r="H78" i="1" s="1"/>
  <c r="I78" i="1" s="1"/>
  <c r="Q35" i="2"/>
  <c r="R35" i="2" s="1"/>
  <c r="T35" i="2" s="1"/>
  <c r="J68" i="2" s="1"/>
  <c r="E43" i="1"/>
  <c r="I43" i="1" s="1"/>
  <c r="D43" i="1"/>
  <c r="H43" i="1" s="1"/>
  <c r="F44" i="1"/>
  <c r="C43" i="1"/>
  <c r="G43" i="1" s="1"/>
  <c r="N43" i="1" s="1"/>
  <c r="O43" i="1" s="1"/>
  <c r="Q43" i="1" s="1"/>
  <c r="J76" i="1" s="1"/>
  <c r="L43" i="1"/>
  <c r="K43" i="1"/>
  <c r="J43" i="1"/>
  <c r="U28" i="2"/>
  <c r="U29" i="2" s="1"/>
  <c r="U30" i="2" s="1"/>
  <c r="U31" i="2" s="1"/>
  <c r="U32" i="2" s="1"/>
  <c r="U33" i="2" s="1"/>
  <c r="U34" i="2" s="1"/>
  <c r="C68" i="2"/>
  <c r="G37" i="2"/>
  <c r="H36" i="2"/>
  <c r="F36" i="2"/>
  <c r="K36" i="2" s="1"/>
  <c r="E36" i="2"/>
  <c r="I36" i="2" s="1"/>
  <c r="D36" i="2"/>
  <c r="J36" i="2" s="1"/>
  <c r="O36" i="2"/>
  <c r="C36" i="2"/>
  <c r="N36" i="2"/>
  <c r="M36" i="2"/>
  <c r="L36" i="2"/>
  <c r="R37" i="1"/>
  <c r="R38" i="1" s="1"/>
  <c r="R39" i="1" s="1"/>
  <c r="R40" i="1" s="1"/>
  <c r="R41" i="1" s="1"/>
  <c r="R42" i="1" s="1"/>
  <c r="M46" i="1"/>
  <c r="V47" i="1"/>
  <c r="L44" i="1" l="1"/>
  <c r="K44" i="1"/>
  <c r="J44" i="1"/>
  <c r="D44" i="1"/>
  <c r="H44" i="1" s="1"/>
  <c r="E44" i="1"/>
  <c r="I44" i="1" s="1"/>
  <c r="F45" i="1"/>
  <c r="C44" i="1"/>
  <c r="G44" i="1" s="1"/>
  <c r="N44" i="1" s="1"/>
  <c r="O44" i="1" s="1"/>
  <c r="Q44" i="1" s="1"/>
  <c r="K76" i="1" s="1"/>
  <c r="M47" i="1"/>
  <c r="V48" i="1"/>
  <c r="J78" i="1"/>
  <c r="R43" i="1"/>
  <c r="Q36" i="2"/>
  <c r="R36" i="2" s="1"/>
  <c r="T36" i="2" s="1"/>
  <c r="K68" i="2" s="1"/>
  <c r="E37" i="2"/>
  <c r="I37" i="2" s="1"/>
  <c r="D37" i="2"/>
  <c r="J37" i="2" s="1"/>
  <c r="O37" i="2"/>
  <c r="C37" i="2"/>
  <c r="N37" i="2"/>
  <c r="M37" i="2"/>
  <c r="L37" i="2"/>
  <c r="G38" i="2"/>
  <c r="H37" i="2"/>
  <c r="F37" i="2"/>
  <c r="K37" i="2" s="1"/>
  <c r="C70" i="2"/>
  <c r="U35" i="2"/>
  <c r="P38" i="2"/>
  <c r="AB39" i="2"/>
  <c r="D70" i="2" l="1"/>
  <c r="E70" i="2" s="1"/>
  <c r="F70" i="2" s="1"/>
  <c r="G70" i="2" s="1"/>
  <c r="H70" i="2" s="1"/>
  <c r="I70" i="2" s="1"/>
  <c r="J70" i="2" s="1"/>
  <c r="B24" i="2" a="1"/>
  <c r="B24" i="2" s="1"/>
  <c r="K70" i="2"/>
  <c r="U36" i="2"/>
  <c r="Q37" i="2"/>
  <c r="R37" i="2" s="1"/>
  <c r="T37" i="2" s="1"/>
  <c r="L68" i="2" s="1"/>
  <c r="K78" i="1"/>
  <c r="V49" i="1"/>
  <c r="M48" i="1"/>
  <c r="F46" i="1"/>
  <c r="C45" i="1"/>
  <c r="G45" i="1" s="1"/>
  <c r="L45" i="1"/>
  <c r="K45" i="1"/>
  <c r="J45" i="1"/>
  <c r="E45" i="1"/>
  <c r="I45" i="1" s="1"/>
  <c r="D45" i="1"/>
  <c r="H45" i="1" s="1"/>
  <c r="D38" i="2"/>
  <c r="J38" i="2" s="1"/>
  <c r="N38" i="2"/>
  <c r="M38" i="2"/>
  <c r="L38" i="2"/>
  <c r="G39" i="2"/>
  <c r="H38" i="2"/>
  <c r="E38" i="2"/>
  <c r="I38" i="2" s="1"/>
  <c r="O38" i="2"/>
  <c r="F38" i="2"/>
  <c r="K38" i="2" s="1"/>
  <c r="C38" i="2"/>
  <c r="AB40" i="2"/>
  <c r="P39" i="2"/>
  <c r="R44" i="1"/>
  <c r="L70" i="2" l="1"/>
  <c r="U37" i="2"/>
  <c r="N45" i="1"/>
  <c r="O45" i="1" s="1"/>
  <c r="Q45" i="1" s="1"/>
  <c r="L76" i="1" s="1"/>
  <c r="Q38" i="2"/>
  <c r="R38" i="2" s="1"/>
  <c r="T38" i="2" s="1"/>
  <c r="M68" i="2" s="1"/>
  <c r="M70" i="2" s="1"/>
  <c r="M39" i="2"/>
  <c r="G40" i="2"/>
  <c r="H39" i="2"/>
  <c r="F39" i="2"/>
  <c r="K39" i="2" s="1"/>
  <c r="E39" i="2"/>
  <c r="I39" i="2" s="1"/>
  <c r="D39" i="2"/>
  <c r="J39" i="2" s="1"/>
  <c r="N39" i="2"/>
  <c r="O39" i="2"/>
  <c r="L39" i="2"/>
  <c r="C39" i="2"/>
  <c r="E46" i="1"/>
  <c r="I46" i="1" s="1"/>
  <c r="D46" i="1"/>
  <c r="H46" i="1" s="1"/>
  <c r="F47" i="1"/>
  <c r="C46" i="1"/>
  <c r="G46" i="1" s="1"/>
  <c r="J46" i="1"/>
  <c r="L46" i="1"/>
  <c r="K46" i="1"/>
  <c r="R45" i="1"/>
  <c r="U38" i="2"/>
  <c r="V50" i="1"/>
  <c r="M49" i="1"/>
  <c r="L78" i="1"/>
  <c r="AB41" i="2"/>
  <c r="P40" i="2"/>
  <c r="N46" i="1" l="1"/>
  <c r="O46" i="1" s="1"/>
  <c r="Q46" i="1" s="1"/>
  <c r="M76" i="1" s="1"/>
  <c r="Q39" i="2"/>
  <c r="R39" i="2" s="1"/>
  <c r="T39" i="2" s="1"/>
  <c r="N68" i="2" s="1"/>
  <c r="N70" i="2" s="1"/>
  <c r="M50" i="1"/>
  <c r="V51" i="1"/>
  <c r="G41" i="2"/>
  <c r="H40" i="2"/>
  <c r="F40" i="2"/>
  <c r="K40" i="2" s="1"/>
  <c r="E40" i="2"/>
  <c r="I40" i="2" s="1"/>
  <c r="D40" i="2"/>
  <c r="J40" i="2" s="1"/>
  <c r="O40" i="2"/>
  <c r="C40" i="2"/>
  <c r="N40" i="2"/>
  <c r="M40" i="2"/>
  <c r="L40" i="2"/>
  <c r="AB42" i="2"/>
  <c r="P41" i="2"/>
  <c r="E47" i="1"/>
  <c r="I47" i="1" s="1"/>
  <c r="D47" i="1"/>
  <c r="H47" i="1" s="1"/>
  <c r="F48" i="1"/>
  <c r="C47" i="1"/>
  <c r="G47" i="1" s="1"/>
  <c r="L47" i="1"/>
  <c r="J47" i="1"/>
  <c r="K47" i="1"/>
  <c r="M78" i="1"/>
  <c r="U39" i="2" l="1"/>
  <c r="L48" i="1"/>
  <c r="D48" i="1"/>
  <c r="H48" i="1" s="1"/>
  <c r="K48" i="1"/>
  <c r="J48" i="1"/>
  <c r="E48" i="1"/>
  <c r="I48" i="1" s="1"/>
  <c r="F49" i="1"/>
  <c r="C48" i="1"/>
  <c r="G48" i="1" s="1"/>
  <c r="N48" i="1" s="1"/>
  <c r="O48" i="1" s="1"/>
  <c r="Q48" i="1" s="1"/>
  <c r="O76" i="1" s="1"/>
  <c r="Q40" i="2"/>
  <c r="R40" i="2" s="1"/>
  <c r="T40" i="2" s="1"/>
  <c r="O68" i="2" s="1"/>
  <c r="O70" i="2" s="1"/>
  <c r="E41" i="2"/>
  <c r="I41" i="2" s="1"/>
  <c r="D41" i="2"/>
  <c r="J41" i="2" s="1"/>
  <c r="O41" i="2"/>
  <c r="C41" i="2"/>
  <c r="N41" i="2"/>
  <c r="M41" i="2"/>
  <c r="L41" i="2"/>
  <c r="G42" i="2"/>
  <c r="H41" i="2"/>
  <c r="F41" i="2"/>
  <c r="K41" i="2" s="1"/>
  <c r="V52" i="1"/>
  <c r="M51" i="1"/>
  <c r="P42" i="2"/>
  <c r="AB43" i="2"/>
  <c r="N47" i="1"/>
  <c r="O47" i="1" s="1"/>
  <c r="Q47" i="1" s="1"/>
  <c r="N76" i="1" s="1"/>
  <c r="N78" i="1" s="1"/>
  <c r="O78" i="1" s="1"/>
  <c r="R46" i="1"/>
  <c r="U40" i="2" l="1"/>
  <c r="D42" i="2"/>
  <c r="J42" i="2" s="1"/>
  <c r="N42" i="2"/>
  <c r="M42" i="2"/>
  <c r="L42" i="2"/>
  <c r="G43" i="2"/>
  <c r="H42" i="2"/>
  <c r="E42" i="2"/>
  <c r="I42" i="2" s="1"/>
  <c r="O42" i="2"/>
  <c r="F42" i="2"/>
  <c r="K42" i="2" s="1"/>
  <c r="C42" i="2"/>
  <c r="F50" i="1"/>
  <c r="C49" i="1"/>
  <c r="G49" i="1" s="1"/>
  <c r="L49" i="1"/>
  <c r="K49" i="1"/>
  <c r="J49" i="1"/>
  <c r="E49" i="1"/>
  <c r="I49" i="1" s="1"/>
  <c r="D49" i="1"/>
  <c r="H49" i="1" s="1"/>
  <c r="V53" i="1"/>
  <c r="M52" i="1"/>
  <c r="Q41" i="2"/>
  <c r="R41" i="2" s="1"/>
  <c r="T41" i="2" s="1"/>
  <c r="P68" i="2" s="1"/>
  <c r="P70" i="2" s="1"/>
  <c r="R47" i="1"/>
  <c r="R48" i="1" s="1"/>
  <c r="AB44" i="2"/>
  <c r="P43" i="2"/>
  <c r="U41" i="2" l="1"/>
  <c r="M43" i="2"/>
  <c r="G44" i="2"/>
  <c r="H43" i="2"/>
  <c r="F43" i="2"/>
  <c r="K43" i="2" s="1"/>
  <c r="E43" i="2"/>
  <c r="I43" i="2" s="1"/>
  <c r="D43" i="2"/>
  <c r="J43" i="2" s="1"/>
  <c r="N43" i="2"/>
  <c r="O43" i="2"/>
  <c r="L43" i="2"/>
  <c r="C43" i="2"/>
  <c r="V54" i="1"/>
  <c r="M53" i="1"/>
  <c r="Q42" i="2"/>
  <c r="R42" i="2" s="1"/>
  <c r="T42" i="2" s="1"/>
  <c r="Q68" i="2" s="1"/>
  <c r="Q70" i="2" s="1"/>
  <c r="AB45" i="2"/>
  <c r="P44" i="2"/>
  <c r="J50" i="1"/>
  <c r="E50" i="1"/>
  <c r="I50" i="1" s="1"/>
  <c r="D50" i="1"/>
  <c r="H50" i="1" s="1"/>
  <c r="F51" i="1"/>
  <c r="C50" i="1"/>
  <c r="G50" i="1" s="1"/>
  <c r="L50" i="1"/>
  <c r="K50" i="1"/>
  <c r="N49" i="1"/>
  <c r="O49" i="1" s="1"/>
  <c r="Q49" i="1" s="1"/>
  <c r="P76" i="1" s="1"/>
  <c r="P78" i="1" s="1"/>
  <c r="R49" i="1" l="1"/>
  <c r="Q43" i="2"/>
  <c r="R43" i="2" s="1"/>
  <c r="T43" i="2" s="1"/>
  <c r="R68" i="2" s="1"/>
  <c r="R70" i="2" s="1"/>
  <c r="E51" i="1"/>
  <c r="I51" i="1" s="1"/>
  <c r="D51" i="1"/>
  <c r="H51" i="1" s="1"/>
  <c r="F52" i="1"/>
  <c r="C51" i="1"/>
  <c r="G51" i="1" s="1"/>
  <c r="L51" i="1"/>
  <c r="K51" i="1"/>
  <c r="J51" i="1"/>
  <c r="U42" i="2"/>
  <c r="U43" i="2" s="1"/>
  <c r="G45" i="2"/>
  <c r="H44" i="2"/>
  <c r="F44" i="2"/>
  <c r="K44" i="2" s="1"/>
  <c r="E44" i="2"/>
  <c r="I44" i="2" s="1"/>
  <c r="D44" i="2"/>
  <c r="J44" i="2" s="1"/>
  <c r="O44" i="2"/>
  <c r="C44" i="2"/>
  <c r="N44" i="2"/>
  <c r="M44" i="2"/>
  <c r="L44" i="2"/>
  <c r="AB46" i="2"/>
  <c r="P45" i="2"/>
  <c r="N50" i="1"/>
  <c r="O50" i="1" s="1"/>
  <c r="Q50" i="1" s="1"/>
  <c r="Q76" i="1" s="1"/>
  <c r="Q78" i="1" s="1"/>
  <c r="M54" i="1"/>
  <c r="V55" i="1"/>
  <c r="P46" i="2" l="1"/>
  <c r="AB47" i="2"/>
  <c r="L52" i="1"/>
  <c r="D52" i="1"/>
  <c r="H52" i="1" s="1"/>
  <c r="K52" i="1"/>
  <c r="J52" i="1"/>
  <c r="E52" i="1"/>
  <c r="I52" i="1" s="1"/>
  <c r="F53" i="1"/>
  <c r="C52" i="1"/>
  <c r="G52" i="1" s="1"/>
  <c r="N51" i="1"/>
  <c r="O51" i="1" s="1"/>
  <c r="Q51" i="1" s="1"/>
  <c r="R76" i="1" s="1"/>
  <c r="R78" i="1" s="1"/>
  <c r="V56" i="1"/>
  <c r="M55" i="1"/>
  <c r="Q44" i="2"/>
  <c r="R44" i="2" s="1"/>
  <c r="T44" i="2" s="1"/>
  <c r="S68" i="2" s="1"/>
  <c r="S70" i="2" s="1"/>
  <c r="R50" i="1"/>
  <c r="E45" i="2"/>
  <c r="I45" i="2" s="1"/>
  <c r="D45" i="2"/>
  <c r="J45" i="2" s="1"/>
  <c r="O45" i="2"/>
  <c r="C45" i="2"/>
  <c r="N45" i="2"/>
  <c r="M45" i="2"/>
  <c r="L45" i="2"/>
  <c r="G46" i="2"/>
  <c r="H45" i="2"/>
  <c r="F45" i="2"/>
  <c r="K45" i="2" s="1"/>
  <c r="R51" i="1" l="1"/>
  <c r="U44" i="2"/>
  <c r="F54" i="1"/>
  <c r="C53" i="1"/>
  <c r="G53" i="1" s="1"/>
  <c r="L53" i="1"/>
  <c r="K53" i="1"/>
  <c r="J53" i="1"/>
  <c r="E53" i="1"/>
  <c r="I53" i="1" s="1"/>
  <c r="D53" i="1"/>
  <c r="H53" i="1" s="1"/>
  <c r="AB48" i="2"/>
  <c r="P47" i="2"/>
  <c r="V57" i="1"/>
  <c r="M56" i="1"/>
  <c r="D46" i="2"/>
  <c r="J46" i="2" s="1"/>
  <c r="N46" i="2"/>
  <c r="M46" i="2"/>
  <c r="L46" i="2"/>
  <c r="G47" i="2"/>
  <c r="H46" i="2"/>
  <c r="E46" i="2"/>
  <c r="I46" i="2" s="1"/>
  <c r="O46" i="2"/>
  <c r="F46" i="2"/>
  <c r="K46" i="2" s="1"/>
  <c r="C46" i="2"/>
  <c r="Q45" i="2"/>
  <c r="R45" i="2" s="1"/>
  <c r="T45" i="2" s="1"/>
  <c r="T68" i="2" s="1"/>
  <c r="T70" i="2" s="1"/>
  <c r="N52" i="1"/>
  <c r="O52" i="1" s="1"/>
  <c r="Q52" i="1" s="1"/>
  <c r="S76" i="1" s="1"/>
  <c r="S78" i="1" s="1"/>
  <c r="Q46" i="2" l="1"/>
  <c r="R46" i="2" s="1"/>
  <c r="T46" i="2" s="1"/>
  <c r="U68" i="2" s="1"/>
  <c r="U70" i="2" s="1"/>
  <c r="N53" i="1"/>
  <c r="O53" i="1" s="1"/>
  <c r="Q53" i="1" s="1"/>
  <c r="T76" i="1" s="1"/>
  <c r="T78" i="1" s="1"/>
  <c r="M47" i="2"/>
  <c r="G48" i="2"/>
  <c r="H47" i="2"/>
  <c r="F47" i="2"/>
  <c r="K47" i="2" s="1"/>
  <c r="E47" i="2"/>
  <c r="I47" i="2" s="1"/>
  <c r="D47" i="2"/>
  <c r="J47" i="2" s="1"/>
  <c r="N47" i="2"/>
  <c r="O47" i="2"/>
  <c r="L47" i="2"/>
  <c r="C47" i="2"/>
  <c r="E54" i="1"/>
  <c r="I54" i="1" s="1"/>
  <c r="D54" i="1"/>
  <c r="H54" i="1" s="1"/>
  <c r="F55" i="1"/>
  <c r="C54" i="1"/>
  <c r="G54" i="1" s="1"/>
  <c r="J54" i="1"/>
  <c r="L54" i="1"/>
  <c r="K54" i="1"/>
  <c r="U45" i="2"/>
  <c r="V58" i="1"/>
  <c r="M57" i="1"/>
  <c r="R52" i="1"/>
  <c r="R53" i="1" s="1"/>
  <c r="AB49" i="2"/>
  <c r="P48" i="2"/>
  <c r="U46" i="2" l="1"/>
  <c r="N54" i="1"/>
  <c r="O54" i="1" s="1"/>
  <c r="Q54" i="1" s="1"/>
  <c r="U76" i="1" s="1"/>
  <c r="U78" i="1" s="1"/>
  <c r="Q47" i="2"/>
  <c r="R47" i="2" s="1"/>
  <c r="T47" i="2" s="1"/>
  <c r="V68" i="2" s="1"/>
  <c r="V70" i="2" s="1"/>
  <c r="E55" i="1"/>
  <c r="I55" i="1" s="1"/>
  <c r="D55" i="1"/>
  <c r="H55" i="1" s="1"/>
  <c r="F56" i="1"/>
  <c r="C55" i="1"/>
  <c r="G55" i="1" s="1"/>
  <c r="L55" i="1"/>
  <c r="K55" i="1"/>
  <c r="J55" i="1"/>
  <c r="G49" i="2"/>
  <c r="H48" i="2"/>
  <c r="F48" i="2"/>
  <c r="K48" i="2" s="1"/>
  <c r="E48" i="2"/>
  <c r="I48" i="2" s="1"/>
  <c r="D48" i="2"/>
  <c r="J48" i="2" s="1"/>
  <c r="O48" i="2"/>
  <c r="C48" i="2"/>
  <c r="N48" i="2"/>
  <c r="M48" i="2"/>
  <c r="L48" i="2"/>
  <c r="AB50" i="2"/>
  <c r="P49" i="2"/>
  <c r="M58" i="1"/>
  <c r="V59" i="1"/>
  <c r="L56" i="1" l="1"/>
  <c r="K56" i="1"/>
  <c r="D56" i="1"/>
  <c r="H56" i="1" s="1"/>
  <c r="J56" i="1"/>
  <c r="E56" i="1"/>
  <c r="I56" i="1" s="1"/>
  <c r="F57" i="1"/>
  <c r="C56" i="1"/>
  <c r="G56" i="1" s="1"/>
  <c r="N56" i="1" s="1"/>
  <c r="O56" i="1" s="1"/>
  <c r="Q56" i="1" s="1"/>
  <c r="W76" i="1" s="1"/>
  <c r="N55" i="1"/>
  <c r="O55" i="1" s="1"/>
  <c r="Q55" i="1" s="1"/>
  <c r="V76" i="1" s="1"/>
  <c r="V78" i="1" s="1"/>
  <c r="W78" i="1" s="1"/>
  <c r="M59" i="1"/>
  <c r="V60" i="1"/>
  <c r="Q48" i="2"/>
  <c r="R48" i="2" s="1"/>
  <c r="T48" i="2" s="1"/>
  <c r="W68" i="2" s="1"/>
  <c r="W70" i="2" s="1"/>
  <c r="U47" i="2"/>
  <c r="E49" i="2"/>
  <c r="I49" i="2" s="1"/>
  <c r="D49" i="2"/>
  <c r="J49" i="2" s="1"/>
  <c r="O49" i="2"/>
  <c r="C49" i="2"/>
  <c r="N49" i="2"/>
  <c r="M49" i="2"/>
  <c r="L49" i="2"/>
  <c r="G50" i="2"/>
  <c r="H49" i="2"/>
  <c r="F49" i="2"/>
  <c r="K49" i="2" s="1"/>
  <c r="P50" i="2"/>
  <c r="AB51" i="2"/>
  <c r="R54" i="1"/>
  <c r="Q49" i="2" l="1"/>
  <c r="R49" i="2" s="1"/>
  <c r="T49" i="2" s="1"/>
  <c r="X68" i="2" s="1"/>
  <c r="X70" i="2" s="1"/>
  <c r="U48" i="2"/>
  <c r="D50" i="2"/>
  <c r="J50" i="2" s="1"/>
  <c r="N50" i="2"/>
  <c r="M50" i="2"/>
  <c r="L50" i="2"/>
  <c r="G51" i="2"/>
  <c r="H50" i="2"/>
  <c r="E50" i="2"/>
  <c r="I50" i="2" s="1"/>
  <c r="O50" i="2"/>
  <c r="F50" i="2"/>
  <c r="K50" i="2" s="1"/>
  <c r="C50" i="2"/>
  <c r="AB52" i="2"/>
  <c r="P51" i="2"/>
  <c r="U49" i="2"/>
  <c r="R55" i="1"/>
  <c r="R56" i="1" s="1"/>
  <c r="F58" i="1"/>
  <c r="C57" i="1"/>
  <c r="G57" i="1" s="1"/>
  <c r="L57" i="1"/>
  <c r="K57" i="1"/>
  <c r="J57" i="1"/>
  <c r="E57" i="1"/>
  <c r="I57" i="1" s="1"/>
  <c r="D57" i="1"/>
  <c r="H57" i="1" s="1"/>
  <c r="V61" i="1"/>
  <c r="M60" i="1"/>
  <c r="Q50" i="2" l="1"/>
  <c r="R50" i="2" s="1"/>
  <c r="T50" i="2" s="1"/>
  <c r="Y68" i="2" s="1"/>
  <c r="Y70" i="2" s="1"/>
  <c r="M51" i="2"/>
  <c r="G52" i="2"/>
  <c r="H51" i="2"/>
  <c r="F51" i="2"/>
  <c r="K51" i="2" s="1"/>
  <c r="E51" i="2"/>
  <c r="I51" i="2" s="1"/>
  <c r="D51" i="2"/>
  <c r="J51" i="2" s="1"/>
  <c r="N51" i="2"/>
  <c r="O51" i="2"/>
  <c r="L51" i="2"/>
  <c r="C51" i="2"/>
  <c r="E58" i="1"/>
  <c r="I58" i="1" s="1"/>
  <c r="D58" i="1"/>
  <c r="H58" i="1" s="1"/>
  <c r="F59" i="1"/>
  <c r="C58" i="1"/>
  <c r="G58" i="1" s="1"/>
  <c r="J58" i="1"/>
  <c r="L58" i="1"/>
  <c r="K58" i="1"/>
  <c r="N57" i="1"/>
  <c r="O57" i="1" s="1"/>
  <c r="Q57" i="1" s="1"/>
  <c r="R57" i="1" s="1"/>
  <c r="U50" i="2"/>
  <c r="M61" i="1"/>
  <c r="V62" i="1"/>
  <c r="AB53" i="2"/>
  <c r="P52" i="2"/>
  <c r="N58" i="1" l="1"/>
  <c r="O58" i="1" s="1"/>
  <c r="Q58" i="1" s="1"/>
  <c r="R58" i="1" s="1"/>
  <c r="Q51" i="2"/>
  <c r="R51" i="2" s="1"/>
  <c r="T51" i="2" s="1"/>
  <c r="Z68" i="2" s="1"/>
  <c r="Z70" i="2" s="1"/>
  <c r="E59" i="1"/>
  <c r="I59" i="1" s="1"/>
  <c r="D59" i="1"/>
  <c r="H59" i="1" s="1"/>
  <c r="F60" i="1"/>
  <c r="C59" i="1"/>
  <c r="G59" i="1" s="1"/>
  <c r="L59" i="1"/>
  <c r="J59" i="1"/>
  <c r="K59" i="1"/>
  <c r="G53" i="2"/>
  <c r="H52" i="2"/>
  <c r="F52" i="2"/>
  <c r="K52" i="2" s="1"/>
  <c r="E52" i="2"/>
  <c r="I52" i="2" s="1"/>
  <c r="D52" i="2"/>
  <c r="J52" i="2" s="1"/>
  <c r="O52" i="2"/>
  <c r="C52" i="2"/>
  <c r="N52" i="2"/>
  <c r="M52" i="2"/>
  <c r="L52" i="2"/>
  <c r="U51" i="2"/>
  <c r="AB54" i="2"/>
  <c r="P53" i="2"/>
  <c r="V63" i="1"/>
  <c r="M62" i="1"/>
  <c r="Q52" i="2" l="1"/>
  <c r="R52" i="2" s="1"/>
  <c r="T52" i="2" s="1"/>
  <c r="AA68" i="2" s="1"/>
  <c r="E53" i="2"/>
  <c r="I53" i="2" s="1"/>
  <c r="D53" i="2"/>
  <c r="J53" i="2" s="1"/>
  <c r="O53" i="2"/>
  <c r="C53" i="2"/>
  <c r="N53" i="2"/>
  <c r="M53" i="2"/>
  <c r="L53" i="2"/>
  <c r="G54" i="2"/>
  <c r="H53" i="2"/>
  <c r="F53" i="2"/>
  <c r="K53" i="2" s="1"/>
  <c r="L60" i="1"/>
  <c r="K60" i="1"/>
  <c r="J60" i="1"/>
  <c r="E60" i="1"/>
  <c r="I60" i="1" s="1"/>
  <c r="D60" i="1"/>
  <c r="H60" i="1" s="1"/>
  <c r="F61" i="1"/>
  <c r="C60" i="1"/>
  <c r="G60" i="1" s="1"/>
  <c r="N59" i="1"/>
  <c r="O59" i="1" s="1"/>
  <c r="Q59" i="1" s="1"/>
  <c r="R59" i="1" s="1"/>
  <c r="AA70" i="2"/>
  <c r="P54" i="2"/>
  <c r="AB55" i="2"/>
  <c r="V64" i="1"/>
  <c r="M63" i="1"/>
  <c r="U52" i="2" l="1"/>
  <c r="N60" i="1"/>
  <c r="O60" i="1" s="1"/>
  <c r="Q60" i="1" s="1"/>
  <c r="D54" i="2"/>
  <c r="J54" i="2" s="1"/>
  <c r="N54" i="2"/>
  <c r="M54" i="2"/>
  <c r="L54" i="2"/>
  <c r="G55" i="2"/>
  <c r="H54" i="2"/>
  <c r="E54" i="2"/>
  <c r="I54" i="2" s="1"/>
  <c r="O54" i="2"/>
  <c r="F54" i="2"/>
  <c r="K54" i="2" s="1"/>
  <c r="C54" i="2"/>
  <c r="AB56" i="2"/>
  <c r="P55" i="2"/>
  <c r="Q53" i="2"/>
  <c r="R53" i="2" s="1"/>
  <c r="T53" i="2" s="1"/>
  <c r="AB68" i="2" s="1"/>
  <c r="AB70" i="2" s="1"/>
  <c r="R60" i="1"/>
  <c r="F62" i="1"/>
  <c r="C61" i="1"/>
  <c r="G61" i="1" s="1"/>
  <c r="L61" i="1"/>
  <c r="K61" i="1"/>
  <c r="J61" i="1"/>
  <c r="E61" i="1"/>
  <c r="I61" i="1" s="1"/>
  <c r="D61" i="1"/>
  <c r="H61" i="1" s="1"/>
  <c r="V65" i="1"/>
  <c r="M64" i="1"/>
  <c r="U53" i="2" l="1"/>
  <c r="N61" i="1"/>
  <c r="O61" i="1" s="1"/>
  <c r="Q61" i="1" s="1"/>
  <c r="E62" i="1"/>
  <c r="I62" i="1" s="1"/>
  <c r="D62" i="1"/>
  <c r="H62" i="1" s="1"/>
  <c r="C62" i="1"/>
  <c r="G62" i="1" s="1"/>
  <c r="F63" i="1"/>
  <c r="L62" i="1"/>
  <c r="J62" i="1"/>
  <c r="K62" i="1"/>
  <c r="Q54" i="2"/>
  <c r="R54" i="2" s="1"/>
  <c r="T54" i="2" s="1"/>
  <c r="AC68" i="2" s="1"/>
  <c r="AC70" i="2" s="1"/>
  <c r="M55" i="2"/>
  <c r="G56" i="2"/>
  <c r="H55" i="2"/>
  <c r="F55" i="2"/>
  <c r="K55" i="2" s="1"/>
  <c r="E55" i="2"/>
  <c r="I55" i="2" s="1"/>
  <c r="D55" i="2"/>
  <c r="J55" i="2" s="1"/>
  <c r="N55" i="2"/>
  <c r="O55" i="2"/>
  <c r="L55" i="2"/>
  <c r="C55" i="2"/>
  <c r="R61" i="1"/>
  <c r="V66" i="1"/>
  <c r="M65" i="1"/>
  <c r="AB57" i="2"/>
  <c r="P56" i="2"/>
  <c r="L63" i="1" l="1"/>
  <c r="J63" i="1"/>
  <c r="E63" i="1"/>
  <c r="I63" i="1" s="1"/>
  <c r="D63" i="1"/>
  <c r="H63" i="1" s="1"/>
  <c r="C63" i="1"/>
  <c r="G63" i="1" s="1"/>
  <c r="K63" i="1"/>
  <c r="F64" i="1"/>
  <c r="N62" i="1"/>
  <c r="O62" i="1" s="1"/>
  <c r="Q62" i="1" s="1"/>
  <c r="R62" i="1" s="1"/>
  <c r="G57" i="2"/>
  <c r="H56" i="2"/>
  <c r="F56" i="2"/>
  <c r="K56" i="2" s="1"/>
  <c r="E56" i="2"/>
  <c r="I56" i="2" s="1"/>
  <c r="D56" i="2"/>
  <c r="J56" i="2" s="1"/>
  <c r="O56" i="2"/>
  <c r="C56" i="2"/>
  <c r="N56" i="2"/>
  <c r="M56" i="2"/>
  <c r="L56" i="2"/>
  <c r="AB58" i="2"/>
  <c r="P57" i="2"/>
  <c r="V67" i="1"/>
  <c r="M66" i="1"/>
  <c r="U54" i="2"/>
  <c r="Q55" i="2"/>
  <c r="R55" i="2" s="1"/>
  <c r="T55" i="2" s="1"/>
  <c r="AD68" i="2" s="1"/>
  <c r="AD70" i="2" s="1"/>
  <c r="Q56" i="2" l="1"/>
  <c r="R56" i="2" s="1"/>
  <c r="T56" i="2" s="1"/>
  <c r="AE68" i="2" s="1"/>
  <c r="AE70" i="2" s="1"/>
  <c r="N63" i="1"/>
  <c r="O63" i="1" s="1"/>
  <c r="Q63" i="1" s="1"/>
  <c r="R63" i="1" s="1"/>
  <c r="P58" i="2"/>
  <c r="AB59" i="2"/>
  <c r="E57" i="2"/>
  <c r="I57" i="2" s="1"/>
  <c r="D57" i="2"/>
  <c r="J57" i="2" s="1"/>
  <c r="O57" i="2"/>
  <c r="C57" i="2"/>
  <c r="N57" i="2"/>
  <c r="M57" i="2"/>
  <c r="L57" i="2"/>
  <c r="G58" i="2"/>
  <c r="H57" i="2"/>
  <c r="F57" i="2"/>
  <c r="K57" i="2" s="1"/>
  <c r="U55" i="2"/>
  <c r="U56" i="2" s="1"/>
  <c r="F65" i="1"/>
  <c r="C64" i="1"/>
  <c r="G64" i="1" s="1"/>
  <c r="L64" i="1"/>
  <c r="K64" i="1"/>
  <c r="D64" i="1"/>
  <c r="H64" i="1" s="1"/>
  <c r="J64" i="1"/>
  <c r="E64" i="1"/>
  <c r="I64" i="1" s="1"/>
  <c r="V68" i="1"/>
  <c r="M67" i="1"/>
  <c r="N64" i="1" l="1"/>
  <c r="O64" i="1" s="1"/>
  <c r="Q64" i="1" s="1"/>
  <c r="R64" i="1" s="1"/>
  <c r="F66" i="1"/>
  <c r="C65" i="1"/>
  <c r="G65" i="1" s="1"/>
  <c r="L65" i="1"/>
  <c r="K65" i="1"/>
  <c r="J65" i="1"/>
  <c r="E65" i="1"/>
  <c r="I65" i="1" s="1"/>
  <c r="D65" i="1"/>
  <c r="H65" i="1" s="1"/>
  <c r="AB60" i="2"/>
  <c r="P59" i="2"/>
  <c r="M68" i="1"/>
  <c r="V69" i="1"/>
  <c r="Q57" i="2"/>
  <c r="R57" i="2" s="1"/>
  <c r="T57" i="2" s="1"/>
  <c r="AF68" i="2" s="1"/>
  <c r="AF70" i="2" s="1"/>
  <c r="D58" i="2"/>
  <c r="J58" i="2" s="1"/>
  <c r="N58" i="2"/>
  <c r="M58" i="2"/>
  <c r="L58" i="2"/>
  <c r="G59" i="2"/>
  <c r="H58" i="2"/>
  <c r="E58" i="2"/>
  <c r="I58" i="2" s="1"/>
  <c r="O58" i="2"/>
  <c r="F58" i="2"/>
  <c r="K58" i="2" s="1"/>
  <c r="C58" i="2"/>
  <c r="Q58" i="2" l="1"/>
  <c r="R58" i="2" s="1"/>
  <c r="T58" i="2" s="1"/>
  <c r="AG68" i="2" s="1"/>
  <c r="M59" i="2"/>
  <c r="G60" i="2"/>
  <c r="H59" i="2"/>
  <c r="F59" i="2"/>
  <c r="K59" i="2" s="1"/>
  <c r="E59" i="2"/>
  <c r="I59" i="2" s="1"/>
  <c r="D59" i="2"/>
  <c r="J59" i="2" s="1"/>
  <c r="N59" i="2"/>
  <c r="O59" i="2"/>
  <c r="L59" i="2"/>
  <c r="C59" i="2"/>
  <c r="AB61" i="2"/>
  <c r="P60" i="2"/>
  <c r="U57" i="2"/>
  <c r="AG70" i="2"/>
  <c r="E66" i="1"/>
  <c r="I66" i="1" s="1"/>
  <c r="J66" i="1"/>
  <c r="F67" i="1"/>
  <c r="D66" i="1"/>
  <c r="H66" i="1" s="1"/>
  <c r="C66" i="1"/>
  <c r="G66" i="1" s="1"/>
  <c r="L66" i="1"/>
  <c r="K66" i="1"/>
  <c r="N65" i="1"/>
  <c r="O65" i="1" s="1"/>
  <c r="Q65" i="1" s="1"/>
  <c r="R65" i="1" s="1"/>
  <c r="V70" i="1"/>
  <c r="M70" i="1" s="1"/>
  <c r="M69" i="1"/>
  <c r="U58" i="2" l="1"/>
  <c r="N66" i="1"/>
  <c r="O66" i="1" s="1"/>
  <c r="Q66" i="1" s="1"/>
  <c r="R66" i="1" s="1"/>
  <c r="Q59" i="2"/>
  <c r="R59" i="2" s="1"/>
  <c r="T59" i="2" s="1"/>
  <c r="AH68" i="2" s="1"/>
  <c r="AH70" i="2" s="1"/>
  <c r="G61" i="2"/>
  <c r="H60" i="2"/>
  <c r="F60" i="2"/>
  <c r="K60" i="2" s="1"/>
  <c r="E60" i="2"/>
  <c r="I60" i="2" s="1"/>
  <c r="D60" i="2"/>
  <c r="J60" i="2" s="1"/>
  <c r="O60" i="2"/>
  <c r="C60" i="2"/>
  <c r="N60" i="2"/>
  <c r="M60" i="2"/>
  <c r="L60" i="2"/>
  <c r="L67" i="1"/>
  <c r="E67" i="1"/>
  <c r="I67" i="1" s="1"/>
  <c r="D67" i="1"/>
  <c r="H67" i="1" s="1"/>
  <c r="F68" i="1"/>
  <c r="C67" i="1"/>
  <c r="G67" i="1" s="1"/>
  <c r="K67" i="1"/>
  <c r="J67" i="1"/>
  <c r="AB62" i="2"/>
  <c r="P62" i="2" s="1"/>
  <c r="P61" i="2"/>
  <c r="N67" i="1" l="1"/>
  <c r="O67" i="1" s="1"/>
  <c r="Q67" i="1" s="1"/>
  <c r="R67" i="1" s="1"/>
  <c r="U59" i="2"/>
  <c r="F69" i="1"/>
  <c r="C68" i="1"/>
  <c r="G68" i="1" s="1"/>
  <c r="L68" i="1"/>
  <c r="K68" i="1"/>
  <c r="E68" i="1"/>
  <c r="I68" i="1" s="1"/>
  <c r="D68" i="1"/>
  <c r="H68" i="1" s="1"/>
  <c r="J68" i="1"/>
  <c r="E61" i="2"/>
  <c r="I61" i="2" s="1"/>
  <c r="D61" i="2"/>
  <c r="J61" i="2" s="1"/>
  <c r="O61" i="2"/>
  <c r="C61" i="2"/>
  <c r="N61" i="2"/>
  <c r="M61" i="2"/>
  <c r="L61" i="2"/>
  <c r="G62" i="2"/>
  <c r="H61" i="2"/>
  <c r="F61" i="2"/>
  <c r="K61" i="2" s="1"/>
  <c r="Q60" i="2"/>
  <c r="R60" i="2" s="1"/>
  <c r="T60" i="2" s="1"/>
  <c r="AI68" i="2" s="1"/>
  <c r="AI70" i="2" s="1"/>
  <c r="D69" i="1" l="1"/>
  <c r="H69" i="1" s="1"/>
  <c r="F70" i="1"/>
  <c r="C69" i="1"/>
  <c r="G69" i="1" s="1"/>
  <c r="K69" i="1"/>
  <c r="J69" i="1"/>
  <c r="E69" i="1"/>
  <c r="I69" i="1" s="1"/>
  <c r="L69" i="1"/>
  <c r="U60" i="2"/>
  <c r="Q61" i="2"/>
  <c r="R61" i="2" s="1"/>
  <c r="T61" i="2" s="1"/>
  <c r="AJ68" i="2" s="1"/>
  <c r="AJ70" i="2" s="1"/>
  <c r="N68" i="1"/>
  <c r="O68" i="1" s="1"/>
  <c r="Q68" i="1" s="1"/>
  <c r="R68" i="1" s="1"/>
  <c r="D62" i="2"/>
  <c r="J62" i="2" s="1"/>
  <c r="N62" i="2"/>
  <c r="M62" i="2"/>
  <c r="L62" i="2"/>
  <c r="H62" i="2"/>
  <c r="E62" i="2"/>
  <c r="I62" i="2" s="1"/>
  <c r="O62" i="2"/>
  <c r="F62" i="2"/>
  <c r="K62" i="2" s="1"/>
  <c r="C62" i="2"/>
  <c r="N69" i="1" l="1"/>
  <c r="O69" i="1" s="1"/>
  <c r="Q69" i="1" s="1"/>
  <c r="R69" i="1" s="1"/>
  <c r="E70" i="1"/>
  <c r="I70" i="1" s="1"/>
  <c r="D70" i="1"/>
  <c r="H70" i="1" s="1"/>
  <c r="J70" i="1"/>
  <c r="C70" i="1"/>
  <c r="G70" i="1" s="1"/>
  <c r="L70" i="1"/>
  <c r="K70" i="1"/>
  <c r="Q62" i="2"/>
  <c r="R62" i="2" s="1"/>
  <c r="T62" i="2" s="1"/>
  <c r="AK68" i="2" s="1"/>
  <c r="B23" i="2" s="1"/>
  <c r="U61" i="2"/>
  <c r="N70" i="1" l="1"/>
  <c r="O70" i="1" s="1"/>
  <c r="Q70" i="1" s="1"/>
  <c r="U62" i="2"/>
  <c r="AK70" i="2"/>
  <c r="AK76" i="1" l="1"/>
  <c r="R70" i="1"/>
  <c r="AK78" i="1" l="1"/>
  <c r="B29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<sst xmlns="http://schemas.openxmlformats.org/spreadsheetml/2006/main" count="196" uniqueCount="101">
  <si>
    <t>Assumptions</t>
  </si>
  <si>
    <t>Value</t>
  </si>
  <si>
    <t>Type</t>
  </si>
  <si>
    <t>Detailed operating assumptions</t>
  </si>
  <si>
    <t>Buyout price</t>
  </si>
  <si>
    <t>Input</t>
  </si>
  <si>
    <t>Fine-tuning / additional cost USD</t>
  </si>
  <si>
    <t>Year</t>
  </si>
  <si>
    <t>Breakfast</t>
  </si>
  <si>
    <t>Beverages</t>
  </si>
  <si>
    <t>In-room snacks</t>
  </si>
  <si>
    <t>Private dining alloc.</t>
  </si>
  <si>
    <t>F&amp;B / occ room</t>
  </si>
  <si>
    <t>USD capex removed</t>
  </si>
  <si>
    <t>Removed</t>
  </si>
  <si>
    <t>Formula</t>
  </si>
  <si>
    <t>Launch / licensing setup</t>
  </si>
  <si>
    <t>Current lease years to 2050</t>
  </si>
  <si>
    <t>Extension years</t>
  </si>
  <si>
    <t>Total modelled operating life</t>
  </si>
  <si>
    <t>Land size are</t>
  </si>
  <si>
    <t>Extension cost IDR / are / year</t>
  </si>
  <si>
    <t>USD/IDR</t>
  </si>
  <si>
    <t>Lease extension base cost IDR</t>
  </si>
  <si>
    <t>Yoga/wellness</t>
  </si>
  <si>
    <t>Spa/massage</t>
  </si>
  <si>
    <t>Excursions</t>
  </si>
  <si>
    <t>Concierge/transport</t>
  </si>
  <si>
    <t>Experience / occ room</t>
  </si>
  <si>
    <t>Lease tax rate</t>
  </si>
  <si>
    <t>Lease tax IDR</t>
  </si>
  <si>
    <t>Lease extension total USD</t>
  </si>
  <si>
    <t>Initial investment incl. extension and tax</t>
  </si>
  <si>
    <t>Premium suite count</t>
  </si>
  <si>
    <t>Premium suite ADR</t>
  </si>
  <si>
    <t>Junior suite count</t>
  </si>
  <si>
    <t>Junior suite ADR</t>
  </si>
  <si>
    <t>Standard room count</t>
  </si>
  <si>
    <t>Standard room ADR</t>
  </si>
  <si>
    <t>Private dinners</t>
  </si>
  <si>
    <t>Small events</t>
  </si>
  <si>
    <t>Avg net/event</t>
  </si>
  <si>
    <t>Event revenue</t>
  </si>
  <si>
    <t>Nightly full sellout</t>
  </si>
  <si>
    <t>Hotel occupancy start</t>
  </si>
  <si>
    <t>Hotel occupancy stabilized</t>
  </si>
  <si>
    <t>Lifetime IRR, no resale value</t>
  </si>
  <si>
    <t>Operating payback year</t>
  </si>
  <si>
    <t>Occupancy</t>
  </si>
  <si>
    <t>Room revenue</t>
  </si>
  <si>
    <t>F&amp;B revenue</t>
  </si>
  <si>
    <t>Experience revenue</t>
  </si>
  <si>
    <t>Total revenue</t>
  </si>
  <si>
    <t>Commission</t>
  </si>
  <si>
    <t>F&amp;B COGS</t>
  </si>
  <si>
    <t>Experience COGS</t>
  </si>
  <si>
    <t>Marketing</t>
  </si>
  <si>
    <t>Utilities/Ops</t>
  </si>
  <si>
    <t>Maintenance</t>
  </si>
  <si>
    <t>Staff fixed</t>
  </si>
  <si>
    <t>Total opex</t>
  </si>
  <si>
    <t>EBITDA</t>
  </si>
  <si>
    <t>Reserve capex</t>
  </si>
  <si>
    <t>Free cash flow</t>
  </si>
  <si>
    <t>Cumulative CF</t>
  </si>
  <si>
    <t>Events</t>
  </si>
  <si>
    <t>Staff fixed input</t>
  </si>
  <si>
    <t>Manager</t>
  </si>
  <si>
    <t>Butlers/Housekeeping</t>
  </si>
  <si>
    <t>Chef/Kitchen</t>
  </si>
  <si>
    <t>Garden/Pool/Security</t>
  </si>
  <si>
    <t>Admin/outsourced</t>
  </si>
  <si>
    <t>Notes</t>
  </si>
  <si>
    <t>Main forecast input columns S:V are linked to the detailed breakdown tables above. Change yellow input cells in the breakdown tables to update F&amp;B / occupied room, experience / occupied room, event revenue and fixed staff cost.</t>
  </si>
  <si>
    <t>Premium staffing note</t>
  </si>
  <si>
    <t>Premium service staffing is modelled from the detailed annual cost categories above. Year 1 totals approximately $120k and grows by maximum 1% p.a. for the first seven years. This includes manager / assistant management, butlers, housekeeping, chef / kitchen support, garden / pool / security, admin, uniforms, staff meals and outsourced maintenance allowance. Facilitators and event casual labour should remain variable costs, not fixed staff.</t>
  </si>
  <si>
    <t>IRR cashflow row</t>
  </si>
  <si>
    <t>Cashflow</t>
  </si>
  <si>
    <t>Cumulative incl initial</t>
  </si>
  <si>
    <t>Boutique nightly full sellout</t>
  </si>
  <si>
    <t>Package discount to boutique price</t>
  </si>
  <si>
    <t>Retreat package room rate/night</t>
  </si>
  <si>
    <t>Retreats</t>
  </si>
  <si>
    <t>Room package revenue</t>
  </si>
  <si>
    <t>Retreat revenue</t>
  </si>
  <si>
    <t>Activities revenue</t>
  </si>
  <si>
    <t>Sales commission</t>
  </si>
  <si>
    <t>Retreat COGS</t>
  </si>
  <si>
    <t>Activity COGS</t>
  </si>
  <si>
    <t>Facilitator</t>
  </si>
  <si>
    <t>Staff</t>
  </si>
  <si>
    <t>Avg days</t>
  </si>
  <si>
    <t>Guests</t>
  </si>
  <si>
    <t>Retreat fee/guest</t>
  </si>
  <si>
    <t>F&amp;B/guest/day</t>
  </si>
  <si>
    <t>Activities/guest</t>
  </si>
  <si>
    <t>Private events</t>
  </si>
  <si>
    <t>Manager/Coordinator</t>
  </si>
  <si>
    <t>Service/Housekeeping</t>
  </si>
  <si>
    <t>Aranaya Residence - Retreat Center Model</t>
  </si>
  <si>
    <t>Aranaya Residence - Boutique Hotel Model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</si>
</sst>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$#,##0"/>
    <numFmt numFmtId="165" formatCode="0.0%"/>
  </numFmts>
  <fonts count="7" x14ac:knownFonts="1">
    <font>
      <sz val="11"/>
      <color theme="1"/>
      <name val="Calibri"/>
      <family val="2"/>
      <scheme val="minor"/>
    </font>
    <font>
      <b/>
      <sz val="16"/>
      <color rgb="FF11110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1"/>
      <name val="Calibri"/>
    </font>
    <font>
      <b/>
      <sz val="11"/>
      <name val="Calibri"/>
    </font>
    <font>
      <b/>
      <sz val="11"/>
      <color rgb="FFFFFFFF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E9DFC9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3F3F3"/>
        <bgColor indexed="64"/>
      </patternFill>
    </fill>
    <fill>
      <patternFill patternType="solid">
        <fgColor rgb="FF11110F"/>
        <bgColor indexed="64"/>
      </patternFill>
    </fill>
    <fill>
      <patternFill patternType="solid">
        <fgColor rgb="FFE9DFC9"/>
      </patternFill>
    </fill>
    <fill>
      <patternFill patternType="solid">
        <fgColor rgb="FF11110F"/>
      </patternFill>
    </fill>
    <fill>
      <patternFill patternType="solid">
        <fgColor rgb="FFFFF2CC"/>
      </patternFill>
    </fill>
    <fill>
      <patternFill patternType="solid">
        <fgColor rgb="FFF3F3F3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/>
      <right/>
      <top style="thin">
        <color rgb="FF999999"/>
      </top>
      <bottom/>
      <diagonal/>
    </border>
    <border>
      <left/>
      <right style="thin">
        <color rgb="FF999999"/>
      </right>
      <top style="thin">
        <color rgb="FF999999"/>
      </top>
      <bottom/>
      <diagonal/>
    </border>
    <border>
      <left/>
      <right/>
      <top style="thin">
        <color rgb="FF999999"/>
      </top>
      <bottom style="thin">
        <color rgb="FF999999"/>
      </bottom>
      <diagonal/>
    </border>
    <border>
      <left/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/>
      <bottom/>
      <diagonal/>
    </border>
    <border>
      <left/>
      <right style="thin">
        <color rgb="FF999999"/>
      </right>
      <top/>
      <bottom/>
      <diagonal/>
    </border>
    <border>
      <left style="thin">
        <color rgb="FF999999"/>
      </left>
      <right/>
      <top/>
      <bottom style="thin">
        <color rgb="FF999999"/>
      </bottom>
      <diagonal/>
    </border>
    <border>
      <left/>
      <right/>
      <top/>
      <bottom style="thin">
        <color rgb="FF999999"/>
      </bottom>
      <diagonal/>
    </border>
    <border>
      <left/>
      <right style="thin">
        <color rgb="FF999999"/>
      </right>
      <top/>
      <bottom style="thin">
        <color rgb="FF999999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2" borderId="1" xfId="0" applyFont="1" applyFill="1" applyBorder="1"/>
    <xf numFmtId="0" fontId="0" fillId="0" borderId="1" xfId="0" applyBorder="1"/>
    <xf numFmtId="3" fontId="0" fillId="3" borderId="1" xfId="0" applyNumberFormat="1" applyFill="1" applyBorder="1"/>
    <xf numFmtId="0" fontId="0" fillId="4" borderId="1" xfId="0" applyFill="1" applyBorder="1"/>
    <xf numFmtId="4" fontId="0" fillId="3" borderId="1" xfId="0" applyNumberFormat="1" applyFill="1" applyBorder="1"/>
    <xf numFmtId="164" fontId="0" fillId="0" borderId="1" xfId="0" applyNumberFormat="1" applyBorder="1"/>
    <xf numFmtId="3" fontId="0" fillId="0" borderId="1" xfId="0" applyNumberFormat="1" applyBorder="1"/>
    <xf numFmtId="165" fontId="0" fillId="3" borderId="1" xfId="0" applyNumberFormat="1" applyFill="1" applyBorder="1"/>
    <xf numFmtId="165" fontId="0" fillId="0" borderId="1" xfId="0" applyNumberFormat="1" applyBorder="1"/>
    <xf numFmtId="0" fontId="3" fillId="5" borderId="1" xfId="0" applyFont="1" applyFill="1" applyBorder="1" applyAlignment="1">
      <alignment horizontal="center"/>
    </xf>
    <xf numFmtId="0" fontId="5" fillId="6" borderId="3" xfId="0" applyFont="1" applyFill="1" applyBorder="1" applyAlignment="1">
      <alignment horizontal="center" vertical="center"/>
    </xf>
    <xf numFmtId="0" fontId="4" fillId="0" borderId="2" xfId="0" applyFont="1" applyBorder="1"/>
    <xf numFmtId="0" fontId="6" fillId="7" borderId="3" xfId="0" applyFont="1" applyFill="1" applyBorder="1" applyAlignment="1">
      <alignment horizontal="center" vertical="center" wrapText="1"/>
    </xf>
    <xf numFmtId="3" fontId="4" fillId="8" borderId="3" xfId="0" applyNumberFormat="1" applyFont="1" applyFill="1" applyBorder="1"/>
    <xf numFmtId="164" fontId="4" fillId="9" borderId="3" xfId="0" applyNumberFormat="1" applyFont="1" applyFill="1" applyBorder="1"/>
    <xf numFmtId="4" fontId="4" fillId="8" borderId="3" xfId="0" applyNumberFormat="1" applyFont="1" applyFill="1" applyBorder="1"/>
    <xf numFmtId="164" fontId="0" fillId="9" borderId="3" xfId="0" applyNumberFormat="1" applyFill="1" applyBorder="1"/>
    <xf numFmtId="164" fontId="4" fillId="8" borderId="3" xfId="0" applyNumberFormat="1" applyFont="1" applyFill="1" applyBorder="1"/>
    <xf numFmtId="3" fontId="0" fillId="8" borderId="3" xfId="0" applyNumberFormat="1" applyFill="1" applyBorder="1"/>
    <xf numFmtId="164" fontId="0" fillId="8" borderId="3" xfId="0" applyNumberFormat="1" applyFill="1" applyBorder="1"/>
    <xf numFmtId="0" fontId="4" fillId="0" borderId="3" xfId="0" applyFont="1" applyBorder="1" applyAlignment="1">
      <alignment vertical="top" wrapText="1"/>
    </xf>
    <xf numFmtId="0" fontId="0" fillId="0" borderId="4" xfId="0" applyBorder="1"/>
    <xf numFmtId="0" fontId="0" fillId="0" borderId="5" xfId="0" applyBorder="1"/>
    <xf numFmtId="0" fontId="0" fillId="0" borderId="8" xfId="0" applyBorder="1"/>
    <xf numFmtId="0" fontId="0" fillId="0" borderId="0" xfId="0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5" fillId="6" borderId="3" xfId="0" applyFont="1" applyFill="1" applyBorder="1" applyAlignment="1">
      <alignment horizontal="center" vertical="center"/>
    </xf>
    <xf numFmtId="0" fontId="0" fillId="0" borderId="6" xfId="0" applyBorder="1"/>
    <xf numFmtId="0" fontId="0" fillId="0" borderId="7" xfId="0" applyBorder="1"/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79"/>
  <sheetViews>
    <sheetView tabSelected="1" zoomScale="75" zoomScaleNormal="75" workbookViewId="0">
      <selection activeCell="A30" sqref="A30"/>
    </sheetView>
  </sheetViews>
  <sheetFormatPr defaultRowHeight="14.4" x14ac:dyDescent="0.3"/>
  <cols>
    <col min="1" max="1" width="36.6640625" customWidth="1"/>
    <col min="2" max="23" width="15.6640625" customWidth="1"/>
    <col min="24" max="36" width="17" customWidth="1"/>
    <col min="37" max="37" width="15.6640625" customWidth="1"/>
  </cols>
  <sheetData>
    <row r="1" spans="1:37" ht="21" x14ac:dyDescent="0.4">
      <c r="A1" s="1" t="s">
        <v>100</v>
      </c>
    </row>
    <row r="3" spans="1:37" x14ac:dyDescent="0.3">
      <c r="A3" s="2" t="s">
        <v>0</v>
      </c>
      <c r="B3" s="2" t="s">
        <v>1</v>
      </c>
      <c r="C3" s="2" t="s">
        <v>2</v>
      </c>
      <c r="X3" s="31" t="s">
        <v>3</v>
      </c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3"/>
    </row>
    <row r="4" spans="1:37" x14ac:dyDescent="0.3">
      <c r="A4" s="3" t="s">
        <v>4</v>
      </c>
      <c r="B4" s="4">
        <v>2700000</v>
      </c>
      <c r="C4" s="5" t="s">
        <v>5</v>
      </c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</row>
    <row r="5" spans="1:37" ht="28.8" x14ac:dyDescent="0.3">
      <c r="A5" s="3" t="s">
        <v>6</v>
      </c>
      <c r="B5" s="4">
        <v>150000</v>
      </c>
      <c r="C5" s="5" t="s">
        <v>5</v>
      </c>
      <c r="X5" s="14" t="s">
        <v>7</v>
      </c>
      <c r="Y5" s="14" t="s">
        <v>8</v>
      </c>
      <c r="Z5" s="14" t="s">
        <v>9</v>
      </c>
      <c r="AA5" s="14" t="s">
        <v>10</v>
      </c>
      <c r="AB5" s="14" t="s">
        <v>11</v>
      </c>
      <c r="AC5" s="14" t="s">
        <v>12</v>
      </c>
      <c r="AD5" s="13"/>
      <c r="AE5" s="13"/>
      <c r="AF5" s="13"/>
      <c r="AG5" s="13"/>
      <c r="AH5" s="13"/>
      <c r="AI5" s="13"/>
      <c r="AJ5" s="13"/>
    </row>
    <row r="6" spans="1:37" x14ac:dyDescent="0.3">
      <c r="A6" s="3" t="s">
        <v>13</v>
      </c>
      <c r="B6" s="6"/>
      <c r="C6" s="5" t="s">
        <v>14</v>
      </c>
      <c r="X6" s="15">
        <v>1</v>
      </c>
      <c r="Y6" s="15">
        <v>45</v>
      </c>
      <c r="Z6" s="15">
        <v>20</v>
      </c>
      <c r="AA6" s="15">
        <v>15</v>
      </c>
      <c r="AB6" s="15">
        <v>30</v>
      </c>
      <c r="AC6" s="16">
        <f t="shared" ref="AC6:AC12" si="0">SUM(Y6:AB6)</f>
        <v>110</v>
      </c>
      <c r="AD6" s="13"/>
      <c r="AE6" s="13"/>
      <c r="AF6" s="13"/>
      <c r="AG6" s="13"/>
      <c r="AH6" s="13"/>
      <c r="AI6" s="13"/>
      <c r="AJ6" s="13"/>
    </row>
    <row r="7" spans="1:37" x14ac:dyDescent="0.3">
      <c r="A7" s="3" t="s">
        <v>6</v>
      </c>
      <c r="B7" s="7">
        <f>B5</f>
        <v>150000</v>
      </c>
      <c r="C7" s="5" t="s">
        <v>15</v>
      </c>
      <c r="X7" s="15">
        <v>2</v>
      </c>
      <c r="Y7" s="15">
        <v>48</v>
      </c>
      <c r="Z7" s="15">
        <v>22</v>
      </c>
      <c r="AA7" s="15">
        <v>16</v>
      </c>
      <c r="AB7" s="15">
        <v>32</v>
      </c>
      <c r="AC7" s="16">
        <f t="shared" si="0"/>
        <v>118</v>
      </c>
      <c r="AD7" s="13"/>
      <c r="AE7" s="13"/>
      <c r="AF7" s="13"/>
      <c r="AG7" s="13"/>
      <c r="AH7" s="13"/>
      <c r="AI7" s="13"/>
      <c r="AJ7" s="13"/>
    </row>
    <row r="8" spans="1:37" x14ac:dyDescent="0.3">
      <c r="A8" s="3" t="s">
        <v>16</v>
      </c>
      <c r="B8" s="4">
        <v>40000</v>
      </c>
      <c r="C8" s="5" t="s">
        <v>5</v>
      </c>
      <c r="X8" s="15">
        <v>3</v>
      </c>
      <c r="Y8" s="15">
        <v>52</v>
      </c>
      <c r="Z8" s="15">
        <v>24</v>
      </c>
      <c r="AA8" s="15">
        <v>17</v>
      </c>
      <c r="AB8" s="15">
        <v>33</v>
      </c>
      <c r="AC8" s="16">
        <f t="shared" si="0"/>
        <v>126</v>
      </c>
      <c r="AD8" s="13"/>
      <c r="AE8" s="13"/>
      <c r="AF8" s="13"/>
      <c r="AG8" s="13"/>
      <c r="AH8" s="13"/>
      <c r="AI8" s="13"/>
      <c r="AJ8" s="13"/>
    </row>
    <row r="9" spans="1:37" x14ac:dyDescent="0.3">
      <c r="A9" s="3" t="s">
        <v>17</v>
      </c>
      <c r="B9" s="6">
        <v>25</v>
      </c>
      <c r="C9" s="5" t="s">
        <v>5</v>
      </c>
      <c r="X9" s="15">
        <v>4</v>
      </c>
      <c r="Y9" s="15">
        <v>55</v>
      </c>
      <c r="Z9" s="15">
        <v>26</v>
      </c>
      <c r="AA9" s="15">
        <v>18</v>
      </c>
      <c r="AB9" s="15">
        <v>35</v>
      </c>
      <c r="AC9" s="16">
        <f t="shared" si="0"/>
        <v>134</v>
      </c>
      <c r="AD9" s="13"/>
      <c r="AE9" s="13"/>
      <c r="AF9" s="13"/>
      <c r="AG9" s="13"/>
      <c r="AH9" s="13"/>
      <c r="AI9" s="13"/>
      <c r="AJ9" s="13"/>
    </row>
    <row r="10" spans="1:37" x14ac:dyDescent="0.3">
      <c r="A10" s="3" t="s">
        <v>18</v>
      </c>
      <c r="B10" s="6">
        <v>10</v>
      </c>
      <c r="C10" s="5" t="s">
        <v>5</v>
      </c>
      <c r="X10" s="15">
        <v>5</v>
      </c>
      <c r="Y10" s="15">
        <v>58</v>
      </c>
      <c r="Z10" s="15">
        <v>27</v>
      </c>
      <c r="AA10" s="15">
        <v>19</v>
      </c>
      <c r="AB10" s="15">
        <v>36</v>
      </c>
      <c r="AC10" s="16">
        <f t="shared" si="0"/>
        <v>140</v>
      </c>
      <c r="AD10" s="13"/>
      <c r="AE10" s="13"/>
      <c r="AF10" s="13"/>
      <c r="AG10" s="13"/>
      <c r="AH10" s="13"/>
      <c r="AI10" s="13"/>
      <c r="AJ10" s="13"/>
    </row>
    <row r="11" spans="1:37" x14ac:dyDescent="0.3">
      <c r="A11" s="3" t="s">
        <v>19</v>
      </c>
      <c r="B11" s="8">
        <f>B9+B10</f>
        <v>35</v>
      </c>
      <c r="C11" s="5" t="s">
        <v>15</v>
      </c>
      <c r="X11" s="15">
        <v>6</v>
      </c>
      <c r="Y11" s="15">
        <v>60</v>
      </c>
      <c r="Z11" s="15">
        <v>28</v>
      </c>
      <c r="AA11" s="15">
        <v>20</v>
      </c>
      <c r="AB11" s="15">
        <v>37</v>
      </c>
      <c r="AC11" s="16">
        <f t="shared" si="0"/>
        <v>145</v>
      </c>
      <c r="AD11" s="13"/>
      <c r="AE11" s="13"/>
      <c r="AF11" s="13"/>
      <c r="AG11" s="13"/>
      <c r="AH11" s="13"/>
      <c r="AI11" s="13"/>
      <c r="AJ11" s="13"/>
    </row>
    <row r="12" spans="1:37" x14ac:dyDescent="0.3">
      <c r="A12" s="3" t="s">
        <v>20</v>
      </c>
      <c r="B12" s="6">
        <v>18</v>
      </c>
      <c r="C12" s="5" t="s">
        <v>5</v>
      </c>
      <c r="X12" s="15">
        <v>7</v>
      </c>
      <c r="Y12" s="15">
        <v>62</v>
      </c>
      <c r="Z12" s="15">
        <v>29</v>
      </c>
      <c r="AA12" s="15">
        <v>21</v>
      </c>
      <c r="AB12" s="15">
        <v>38</v>
      </c>
      <c r="AC12" s="16">
        <f t="shared" si="0"/>
        <v>150</v>
      </c>
      <c r="AD12" s="13"/>
      <c r="AE12" s="13"/>
      <c r="AF12" s="13"/>
      <c r="AG12" s="13"/>
      <c r="AH12" s="13"/>
      <c r="AI12" s="13"/>
      <c r="AJ12" s="13"/>
    </row>
    <row r="13" spans="1:37" x14ac:dyDescent="0.3">
      <c r="A13" s="3" t="s">
        <v>21</v>
      </c>
      <c r="B13" s="4">
        <v>18000000</v>
      </c>
      <c r="C13" s="5" t="s">
        <v>5</v>
      </c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</row>
    <row r="14" spans="1:37" x14ac:dyDescent="0.3">
      <c r="A14" s="3" t="s">
        <v>22</v>
      </c>
      <c r="B14" s="6">
        <v>16000</v>
      </c>
      <c r="C14" s="5" t="s">
        <v>5</v>
      </c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</row>
    <row r="15" spans="1:37" ht="28.8" x14ac:dyDescent="0.3">
      <c r="A15" s="3" t="s">
        <v>23</v>
      </c>
      <c r="B15" s="8">
        <f>B10*B12*B13</f>
        <v>3240000000</v>
      </c>
      <c r="C15" s="5" t="s">
        <v>15</v>
      </c>
      <c r="X15" s="14" t="s">
        <v>7</v>
      </c>
      <c r="Y15" s="14" t="s">
        <v>24</v>
      </c>
      <c r="Z15" s="14" t="s">
        <v>25</v>
      </c>
      <c r="AA15" s="14" t="s">
        <v>26</v>
      </c>
      <c r="AB15" s="14" t="s">
        <v>27</v>
      </c>
      <c r="AC15" s="14" t="s">
        <v>28</v>
      </c>
      <c r="AD15" s="13"/>
      <c r="AE15" s="13"/>
      <c r="AF15" s="13"/>
      <c r="AG15" s="13"/>
      <c r="AH15" s="13"/>
      <c r="AI15" s="13"/>
      <c r="AJ15" s="13"/>
    </row>
    <row r="16" spans="1:37" x14ac:dyDescent="0.3">
      <c r="A16" s="3" t="s">
        <v>29</v>
      </c>
      <c r="B16" s="9">
        <v>0.1</v>
      </c>
      <c r="C16" s="5" t="s">
        <v>5</v>
      </c>
      <c r="X16" s="15">
        <v>1</v>
      </c>
      <c r="Y16" s="15">
        <v>12</v>
      </c>
      <c r="Z16" s="15">
        <v>15</v>
      </c>
      <c r="AA16" s="15">
        <v>10</v>
      </c>
      <c r="AB16" s="15">
        <v>8</v>
      </c>
      <c r="AC16" s="16">
        <f t="shared" ref="AC16:AC22" si="1">SUM(Y16:AB16)</f>
        <v>45</v>
      </c>
      <c r="AD16" s="13"/>
      <c r="AE16" s="13"/>
      <c r="AF16" s="13"/>
      <c r="AG16" s="13"/>
      <c r="AH16" s="13"/>
      <c r="AI16" s="13"/>
      <c r="AJ16" s="13"/>
    </row>
    <row r="17" spans="1:36" x14ac:dyDescent="0.3">
      <c r="A17" s="3" t="s">
        <v>30</v>
      </c>
      <c r="B17" s="8">
        <f>B15*B16</f>
        <v>324000000</v>
      </c>
      <c r="C17" s="5" t="s">
        <v>15</v>
      </c>
      <c r="X17" s="15">
        <v>2</v>
      </c>
      <c r="Y17" s="15">
        <v>14</v>
      </c>
      <c r="Z17" s="15">
        <v>17</v>
      </c>
      <c r="AA17" s="15">
        <v>12</v>
      </c>
      <c r="AB17" s="15">
        <v>9</v>
      </c>
      <c r="AC17" s="16">
        <f t="shared" si="1"/>
        <v>52</v>
      </c>
      <c r="AD17" s="13"/>
      <c r="AE17" s="13"/>
      <c r="AF17" s="13"/>
      <c r="AG17" s="13"/>
      <c r="AH17" s="13"/>
      <c r="AI17" s="13"/>
      <c r="AJ17" s="13"/>
    </row>
    <row r="18" spans="1:36" x14ac:dyDescent="0.3">
      <c r="A18" s="3" t="s">
        <v>31</v>
      </c>
      <c r="B18" s="7">
        <f>(B15+B17)/B14</f>
        <v>222750</v>
      </c>
      <c r="C18" s="5" t="s">
        <v>15</v>
      </c>
      <c r="X18" s="15">
        <v>3</v>
      </c>
      <c r="Y18" s="15">
        <v>16</v>
      </c>
      <c r="Z18" s="15">
        <v>20</v>
      </c>
      <c r="AA18" s="15">
        <v>14</v>
      </c>
      <c r="AB18" s="15">
        <v>10</v>
      </c>
      <c r="AC18" s="16">
        <f t="shared" si="1"/>
        <v>60</v>
      </c>
      <c r="AD18" s="13"/>
      <c r="AE18" s="13"/>
      <c r="AF18" s="13"/>
      <c r="AG18" s="13"/>
      <c r="AH18" s="13"/>
      <c r="AI18" s="13"/>
      <c r="AJ18" s="13"/>
    </row>
    <row r="19" spans="1:36" x14ac:dyDescent="0.3">
      <c r="A19" s="3" t="s">
        <v>32</v>
      </c>
      <c r="B19" s="7">
        <f>B4+B7+B8+B18</f>
        <v>3112750</v>
      </c>
      <c r="C19" s="5" t="s">
        <v>15</v>
      </c>
      <c r="X19" s="15">
        <v>4</v>
      </c>
      <c r="Y19" s="15">
        <v>18</v>
      </c>
      <c r="Z19" s="15">
        <v>23</v>
      </c>
      <c r="AA19" s="15">
        <v>16</v>
      </c>
      <c r="AB19" s="15">
        <v>11</v>
      </c>
      <c r="AC19" s="16">
        <f t="shared" si="1"/>
        <v>68</v>
      </c>
      <c r="AD19" s="13"/>
      <c r="AE19" s="13"/>
      <c r="AF19" s="13"/>
      <c r="AG19" s="13"/>
      <c r="AH19" s="13"/>
      <c r="AI19" s="13"/>
      <c r="AJ19" s="13"/>
    </row>
    <row r="20" spans="1:36" x14ac:dyDescent="0.3">
      <c r="A20" s="3" t="s">
        <v>33</v>
      </c>
      <c r="B20" s="6">
        <v>3</v>
      </c>
      <c r="C20" s="5" t="s">
        <v>5</v>
      </c>
      <c r="X20" s="15">
        <v>5</v>
      </c>
      <c r="Y20" s="15">
        <v>20</v>
      </c>
      <c r="Z20" s="15">
        <v>25</v>
      </c>
      <c r="AA20" s="15">
        <v>18</v>
      </c>
      <c r="AB20" s="15">
        <v>12</v>
      </c>
      <c r="AC20" s="16">
        <f t="shared" si="1"/>
        <v>75</v>
      </c>
      <c r="AD20" s="13"/>
      <c r="AE20" s="13"/>
      <c r="AF20" s="13"/>
      <c r="AG20" s="13"/>
      <c r="AH20" s="13"/>
      <c r="AI20" s="13"/>
      <c r="AJ20" s="13"/>
    </row>
    <row r="21" spans="1:36" x14ac:dyDescent="0.3">
      <c r="A21" s="3" t="s">
        <v>34</v>
      </c>
      <c r="B21" s="4">
        <v>800</v>
      </c>
      <c r="C21" s="5" t="s">
        <v>5</v>
      </c>
      <c r="X21" s="15">
        <v>6</v>
      </c>
      <c r="Y21" s="15">
        <v>21</v>
      </c>
      <c r="Z21" s="15">
        <v>27</v>
      </c>
      <c r="AA21" s="15">
        <v>19</v>
      </c>
      <c r="AB21" s="15">
        <v>13</v>
      </c>
      <c r="AC21" s="16">
        <f t="shared" si="1"/>
        <v>80</v>
      </c>
      <c r="AD21" s="13"/>
      <c r="AE21" s="13"/>
      <c r="AF21" s="13"/>
      <c r="AG21" s="13"/>
      <c r="AH21" s="13"/>
      <c r="AI21" s="13"/>
      <c r="AJ21" s="13"/>
    </row>
    <row r="22" spans="1:36" x14ac:dyDescent="0.3">
      <c r="A22" s="3" t="s">
        <v>35</v>
      </c>
      <c r="B22" s="6">
        <v>1</v>
      </c>
      <c r="C22" s="5" t="s">
        <v>5</v>
      </c>
      <c r="X22" s="15">
        <v>7</v>
      </c>
      <c r="Y22" s="15">
        <v>22</v>
      </c>
      <c r="Z22" s="15">
        <v>28</v>
      </c>
      <c r="AA22" s="15">
        <v>21</v>
      </c>
      <c r="AB22" s="15">
        <v>14</v>
      </c>
      <c r="AC22" s="16">
        <f t="shared" si="1"/>
        <v>85</v>
      </c>
      <c r="AD22" s="13"/>
      <c r="AE22" s="13"/>
      <c r="AF22" s="13"/>
      <c r="AG22" s="13"/>
      <c r="AH22" s="13"/>
      <c r="AI22" s="13"/>
      <c r="AJ22" s="13"/>
    </row>
    <row r="23" spans="1:36" x14ac:dyDescent="0.3">
      <c r="A23" s="3" t="s">
        <v>36</v>
      </c>
      <c r="B23" s="4">
        <v>600</v>
      </c>
      <c r="C23" s="5" t="s">
        <v>5</v>
      </c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</row>
    <row r="24" spans="1:36" x14ac:dyDescent="0.3">
      <c r="A24" s="3" t="s">
        <v>37</v>
      </c>
      <c r="B24" s="6">
        <v>3</v>
      </c>
      <c r="C24" s="5" t="s">
        <v>5</v>
      </c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</row>
    <row r="25" spans="1:36" x14ac:dyDescent="0.3">
      <c r="A25" s="3" t="s">
        <v>38</v>
      </c>
      <c r="B25" s="4">
        <v>400</v>
      </c>
      <c r="C25" s="5" t="s">
        <v>5</v>
      </c>
      <c r="X25" s="14" t="s">
        <v>7</v>
      </c>
      <c r="Y25" s="14" t="s">
        <v>39</v>
      </c>
      <c r="Z25" s="14" t="s">
        <v>40</v>
      </c>
      <c r="AA25" s="14" t="s">
        <v>41</v>
      </c>
      <c r="AB25" s="14" t="s">
        <v>42</v>
      </c>
      <c r="AC25" s="13"/>
      <c r="AD25" s="13"/>
      <c r="AE25" s="13"/>
      <c r="AF25" s="13"/>
      <c r="AG25" s="13"/>
      <c r="AH25" s="13"/>
      <c r="AI25" s="13"/>
      <c r="AJ25" s="13"/>
    </row>
    <row r="26" spans="1:36" x14ac:dyDescent="0.3">
      <c r="A26" s="3" t="s">
        <v>43</v>
      </c>
      <c r="B26" s="7">
        <f>B20*B21+B22*B23+B24*B25</f>
        <v>4200</v>
      </c>
      <c r="C26" s="5" t="s">
        <v>15</v>
      </c>
      <c r="X26" s="15">
        <v>1</v>
      </c>
      <c r="Y26" s="15">
        <v>5</v>
      </c>
      <c r="Z26" s="15">
        <v>2</v>
      </c>
      <c r="AA26" s="17">
        <v>5000</v>
      </c>
      <c r="AB26" s="16">
        <f t="shared" ref="AB26:AB32" si="2">(Y26+Z26)*AA26</f>
        <v>35000</v>
      </c>
      <c r="AC26" s="13"/>
      <c r="AD26" s="13"/>
      <c r="AE26" s="13"/>
      <c r="AF26" s="13"/>
      <c r="AG26" s="13"/>
      <c r="AH26" s="13"/>
      <c r="AI26" s="13"/>
      <c r="AJ26" s="13"/>
    </row>
    <row r="27" spans="1:36" x14ac:dyDescent="0.3">
      <c r="A27" s="3" t="s">
        <v>44</v>
      </c>
      <c r="B27" s="9">
        <v>0.6</v>
      </c>
      <c r="C27" s="5" t="s">
        <v>5</v>
      </c>
      <c r="X27" s="15">
        <v>2</v>
      </c>
      <c r="Y27" s="15">
        <v>7</v>
      </c>
      <c r="Z27" s="15">
        <v>3</v>
      </c>
      <c r="AA27" s="17">
        <v>5000</v>
      </c>
      <c r="AB27" s="16">
        <f t="shared" si="2"/>
        <v>50000</v>
      </c>
      <c r="AC27" s="13"/>
      <c r="AD27" s="13"/>
      <c r="AE27" s="13"/>
      <c r="AF27" s="13"/>
      <c r="AG27" s="13"/>
      <c r="AH27" s="13"/>
      <c r="AI27" s="13"/>
      <c r="AJ27" s="13"/>
    </row>
    <row r="28" spans="1:36" x14ac:dyDescent="0.3">
      <c r="A28" s="3" t="s">
        <v>45</v>
      </c>
      <c r="B28" s="9">
        <v>0.8</v>
      </c>
      <c r="C28" s="5" t="s">
        <v>5</v>
      </c>
      <c r="X28" s="15">
        <v>3</v>
      </c>
      <c r="Y28" s="15">
        <v>8</v>
      </c>
      <c r="Z28" s="15">
        <v>5</v>
      </c>
      <c r="AA28" s="17">
        <v>5000</v>
      </c>
      <c r="AB28" s="16">
        <f t="shared" si="2"/>
        <v>65000</v>
      </c>
      <c r="AC28" s="13"/>
      <c r="AD28" s="13"/>
      <c r="AE28" s="13"/>
      <c r="AF28" s="13"/>
      <c r="AG28" s="13"/>
      <c r="AH28" s="13"/>
      <c r="AI28" s="13"/>
      <c r="AJ28" s="13"/>
    </row>
    <row r="29" spans="1:36" x14ac:dyDescent="0.3">
      <c r="A29" s="3" t="s">
        <v>46</v>
      </c>
      <c r="B29" s="10">
        <f>IRR(B76:AK76)</f>
        <v>0.23636851297101824</v>
      </c>
      <c r="C29" s="5" t="s">
        <v>15</v>
      </c>
      <c r="X29" s="15">
        <v>4</v>
      </c>
      <c r="Y29" s="15">
        <v>9</v>
      </c>
      <c r="Z29" s="15">
        <v>4</v>
      </c>
      <c r="AA29" s="17">
        <v>6000</v>
      </c>
      <c r="AB29" s="16">
        <f t="shared" si="2"/>
        <v>78000</v>
      </c>
      <c r="AC29" s="13"/>
      <c r="AD29" s="13"/>
      <c r="AE29" s="13"/>
      <c r="AF29" s="13"/>
      <c r="AG29" s="13"/>
      <c r="AH29" s="13"/>
      <c r="AI29" s="13"/>
      <c r="AJ29" s="13"/>
    </row>
    <row r="30" spans="1:36" x14ac:dyDescent="0.3">
      <c r="A30" s="3" t="s">
        <v>47</v>
      </c>
      <c r="B30" s="8" cm="1">
        <f t="array" ref="B30">MATCH(TRUE,B78:AK78&gt;0,0)-1</f>
        <v>5</v>
      </c>
      <c r="C30" s="5" t="s">
        <v>15</v>
      </c>
      <c r="X30" s="15">
        <v>5</v>
      </c>
      <c r="Y30" s="15">
        <v>10</v>
      </c>
      <c r="Z30" s="15">
        <v>5</v>
      </c>
      <c r="AA30" s="17">
        <v>6000</v>
      </c>
      <c r="AB30" s="16">
        <f t="shared" si="2"/>
        <v>90000</v>
      </c>
      <c r="AC30" s="13"/>
      <c r="AD30" s="13"/>
      <c r="AE30" s="13"/>
      <c r="AF30" s="13"/>
      <c r="AG30" s="13"/>
      <c r="AH30" s="13"/>
      <c r="AI30" s="13"/>
      <c r="AJ30" s="13"/>
    </row>
    <row r="31" spans="1:36" x14ac:dyDescent="0.3">
      <c r="X31" s="15">
        <v>6</v>
      </c>
      <c r="Y31" s="15">
        <v>11</v>
      </c>
      <c r="Z31" s="15">
        <v>5</v>
      </c>
      <c r="AA31" s="17">
        <v>6250</v>
      </c>
      <c r="AB31" s="16">
        <f t="shared" si="2"/>
        <v>100000</v>
      </c>
      <c r="AC31" s="13"/>
      <c r="AD31" s="13"/>
      <c r="AE31" s="13"/>
      <c r="AF31" s="13"/>
      <c r="AG31" s="13"/>
      <c r="AH31" s="13"/>
      <c r="AI31" s="13"/>
      <c r="AJ31" s="13"/>
    </row>
    <row r="32" spans="1:36" x14ac:dyDescent="0.3">
      <c r="X32" s="15">
        <v>7</v>
      </c>
      <c r="Y32" s="15">
        <v>12</v>
      </c>
      <c r="Z32" s="15">
        <v>5</v>
      </c>
      <c r="AA32" s="17">
        <v>6470.5882352939998</v>
      </c>
      <c r="AB32" s="16">
        <f t="shared" si="2"/>
        <v>109999.99999999799</v>
      </c>
      <c r="AC32" s="13"/>
      <c r="AD32" s="13"/>
      <c r="AE32" s="13"/>
      <c r="AF32" s="13"/>
      <c r="AG32" s="13"/>
      <c r="AH32" s="13"/>
      <c r="AI32" s="13"/>
      <c r="AJ32" s="13"/>
    </row>
    <row r="33" spans="1:37" x14ac:dyDescent="0.3"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</row>
    <row r="34" spans="1:37" x14ac:dyDescent="0.3"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</row>
    <row r="35" spans="1:37" ht="28.8" x14ac:dyDescent="0.3">
      <c r="A35" s="11" t="s">
        <v>7</v>
      </c>
      <c r="B35" s="11" t="s">
        <v>48</v>
      </c>
      <c r="C35" s="11" t="s">
        <v>49</v>
      </c>
      <c r="D35" s="11" t="s">
        <v>50</v>
      </c>
      <c r="E35" s="11" t="s">
        <v>51</v>
      </c>
      <c r="F35" s="11" t="s">
        <v>52</v>
      </c>
      <c r="G35" s="11" t="s">
        <v>53</v>
      </c>
      <c r="H35" s="11" t="s">
        <v>54</v>
      </c>
      <c r="I35" s="11" t="s">
        <v>55</v>
      </c>
      <c r="J35" s="11" t="s">
        <v>56</v>
      </c>
      <c r="K35" s="11" t="s">
        <v>57</v>
      </c>
      <c r="L35" s="11" t="s">
        <v>58</v>
      </c>
      <c r="M35" s="11" t="s">
        <v>59</v>
      </c>
      <c r="N35" s="11" t="s">
        <v>60</v>
      </c>
      <c r="O35" s="11" t="s">
        <v>61</v>
      </c>
      <c r="P35" s="11" t="s">
        <v>62</v>
      </c>
      <c r="Q35" s="11" t="s">
        <v>63</v>
      </c>
      <c r="R35" s="11" t="s">
        <v>64</v>
      </c>
      <c r="S35" s="11" t="s">
        <v>12</v>
      </c>
      <c r="T35" s="11" t="s">
        <v>28</v>
      </c>
      <c r="U35" s="11" t="s">
        <v>65</v>
      </c>
      <c r="V35" s="11" t="s">
        <v>66</v>
      </c>
      <c r="X35" s="14" t="s">
        <v>7</v>
      </c>
      <c r="Y35" s="14" t="s">
        <v>67</v>
      </c>
      <c r="Z35" s="14" t="s">
        <v>68</v>
      </c>
      <c r="AA35" s="14" t="s">
        <v>69</v>
      </c>
      <c r="AB35" s="14" t="s">
        <v>70</v>
      </c>
      <c r="AC35" s="14" t="s">
        <v>71</v>
      </c>
      <c r="AD35" s="14" t="s">
        <v>66</v>
      </c>
      <c r="AE35" s="13"/>
      <c r="AF35" s="13"/>
      <c r="AG35" s="13"/>
      <c r="AH35" s="13"/>
      <c r="AI35" s="13"/>
      <c r="AJ35" s="13"/>
    </row>
    <row r="36" spans="1:37" x14ac:dyDescent="0.3">
      <c r="A36" s="8">
        <v>1</v>
      </c>
      <c r="B36" s="9">
        <v>0.6</v>
      </c>
      <c r="C36" s="7">
        <f t="shared" ref="C36:C42" si="3">$B$26*365*B36</f>
        <v>919800</v>
      </c>
      <c r="D36" s="7">
        <f t="shared" ref="D36:D42" si="4">7*365*B36*S36</f>
        <v>168630</v>
      </c>
      <c r="E36" s="7">
        <f t="shared" ref="E36:E42" si="5">7*365*B36*T36+U36</f>
        <v>103985</v>
      </c>
      <c r="F36" s="7">
        <f t="shared" ref="F36:F42" si="6">C36+D36+E36</f>
        <v>1192415</v>
      </c>
      <c r="G36" s="7">
        <f t="shared" ref="G36:G70" si="7">15%*C36</f>
        <v>137970</v>
      </c>
      <c r="H36" s="7">
        <f t="shared" ref="H36:H70" si="8">45%*D36</f>
        <v>75883.5</v>
      </c>
      <c r="I36" s="7">
        <f t="shared" ref="I36:I70" si="9">50%*E36</f>
        <v>51992.5</v>
      </c>
      <c r="J36" s="7">
        <f t="shared" ref="J36:J70" si="10">8%*F36</f>
        <v>95393.2</v>
      </c>
      <c r="K36" s="7">
        <f t="shared" ref="K36:K70" si="11">7%*F36</f>
        <v>83469.05</v>
      </c>
      <c r="L36" s="7">
        <f t="shared" ref="L36:L70" si="12">3.5%*F36</f>
        <v>41734.525000000001</v>
      </c>
      <c r="M36" s="7">
        <f t="shared" ref="M36:M70" si="13">V36</f>
        <v>120000</v>
      </c>
      <c r="N36" s="7">
        <f t="shared" ref="N36:N70" si="14">SUM(G36:M36)</f>
        <v>606442.77500000002</v>
      </c>
      <c r="O36" s="7">
        <f t="shared" ref="O36:O70" si="15">F36-N36</f>
        <v>585972.22499999998</v>
      </c>
      <c r="P36" s="7">
        <f>25000</f>
        <v>25000</v>
      </c>
      <c r="Q36" s="7">
        <f t="shared" ref="Q36:Q70" si="16">O36-P36</f>
        <v>560972.22499999998</v>
      </c>
      <c r="R36" s="7">
        <f>Q36-$B$19</f>
        <v>-2551777.7749999999</v>
      </c>
      <c r="S36" s="18">
        <f>AC6</f>
        <v>110</v>
      </c>
      <c r="T36" s="18">
        <f>AC16</f>
        <v>45</v>
      </c>
      <c r="U36" s="18">
        <f>AB26</f>
        <v>35000</v>
      </c>
      <c r="V36" s="18">
        <f t="shared" ref="V36:V42" si="17">AD36</f>
        <v>120000</v>
      </c>
      <c r="X36" s="15">
        <v>1</v>
      </c>
      <c r="Y36" s="19">
        <v>21000</v>
      </c>
      <c r="Z36" s="19">
        <v>30000</v>
      </c>
      <c r="AA36" s="19">
        <v>18000</v>
      </c>
      <c r="AB36" s="19">
        <v>18000</v>
      </c>
      <c r="AC36" s="19">
        <v>33000</v>
      </c>
      <c r="AD36" s="16">
        <f t="shared" ref="AD36:AD42" si="18">SUM(Y36:AC36)</f>
        <v>120000</v>
      </c>
      <c r="AE36" s="13"/>
      <c r="AF36" s="13"/>
      <c r="AG36" s="13"/>
      <c r="AH36" s="13"/>
      <c r="AI36" s="13"/>
      <c r="AJ36" s="13"/>
    </row>
    <row r="37" spans="1:37" x14ac:dyDescent="0.3">
      <c r="A37" s="8">
        <v>2</v>
      </c>
      <c r="B37" s="9">
        <v>0.65</v>
      </c>
      <c r="C37" s="7">
        <f t="shared" si="3"/>
        <v>996450</v>
      </c>
      <c r="D37" s="7">
        <f t="shared" si="4"/>
        <v>195968.5</v>
      </c>
      <c r="E37" s="7">
        <f t="shared" si="5"/>
        <v>136359</v>
      </c>
      <c r="F37" s="7">
        <f t="shared" si="6"/>
        <v>1328777.5</v>
      </c>
      <c r="G37" s="7">
        <f t="shared" si="7"/>
        <v>149467.5</v>
      </c>
      <c r="H37" s="7">
        <f t="shared" si="8"/>
        <v>88185.824999999997</v>
      </c>
      <c r="I37" s="7">
        <f t="shared" si="9"/>
        <v>68179.5</v>
      </c>
      <c r="J37" s="7">
        <f t="shared" si="10"/>
        <v>106302.2</v>
      </c>
      <c r="K37" s="7">
        <f t="shared" si="11"/>
        <v>93014.425000000003</v>
      </c>
      <c r="L37" s="7">
        <f t="shared" si="12"/>
        <v>46507.212500000001</v>
      </c>
      <c r="M37" s="7">
        <f t="shared" si="13"/>
        <v>121200</v>
      </c>
      <c r="N37" s="7">
        <f t="shared" si="14"/>
        <v>672856.66249999998</v>
      </c>
      <c r="O37" s="7">
        <f t="shared" si="15"/>
        <v>655920.83750000002</v>
      </c>
      <c r="P37" s="7">
        <f>25000</f>
        <v>25000</v>
      </c>
      <c r="Q37" s="7">
        <f t="shared" si="16"/>
        <v>630920.83750000002</v>
      </c>
      <c r="R37" s="7">
        <f t="shared" ref="R37:R70" si="19">R36+Q37</f>
        <v>-1920856.9375</v>
      </c>
      <c r="S37" s="18">
        <f>AC7</f>
        <v>118</v>
      </c>
      <c r="T37" s="18">
        <f>AC17</f>
        <v>52</v>
      </c>
      <c r="U37" s="18">
        <f>AB27</f>
        <v>50000</v>
      </c>
      <c r="V37" s="18">
        <f t="shared" si="17"/>
        <v>121200</v>
      </c>
      <c r="X37" s="15">
        <v>2</v>
      </c>
      <c r="Y37" s="19">
        <v>21210</v>
      </c>
      <c r="Z37" s="19">
        <v>30300</v>
      </c>
      <c r="AA37" s="19">
        <v>18180</v>
      </c>
      <c r="AB37" s="19">
        <v>18180</v>
      </c>
      <c r="AC37" s="19">
        <v>33330</v>
      </c>
      <c r="AD37" s="16">
        <f t="shared" si="18"/>
        <v>121200</v>
      </c>
      <c r="AE37" s="13"/>
      <c r="AF37" s="13"/>
      <c r="AG37" s="13"/>
      <c r="AH37" s="13"/>
      <c r="AI37" s="13"/>
      <c r="AJ37" s="13"/>
    </row>
    <row r="38" spans="1:37" x14ac:dyDescent="0.3">
      <c r="A38" s="8">
        <v>3</v>
      </c>
      <c r="B38" s="9">
        <v>0.7</v>
      </c>
      <c r="C38" s="7">
        <f t="shared" si="3"/>
        <v>1073100</v>
      </c>
      <c r="D38" s="7">
        <f t="shared" si="4"/>
        <v>225351</v>
      </c>
      <c r="E38" s="7">
        <f t="shared" si="5"/>
        <v>172310</v>
      </c>
      <c r="F38" s="7">
        <f t="shared" si="6"/>
        <v>1470761</v>
      </c>
      <c r="G38" s="7">
        <f t="shared" si="7"/>
        <v>160965</v>
      </c>
      <c r="H38" s="7">
        <f t="shared" si="8"/>
        <v>101407.95</v>
      </c>
      <c r="I38" s="7">
        <f t="shared" si="9"/>
        <v>86155</v>
      </c>
      <c r="J38" s="7">
        <f t="shared" si="10"/>
        <v>117660.88</v>
      </c>
      <c r="K38" s="7">
        <f t="shared" si="11"/>
        <v>102953.27</v>
      </c>
      <c r="L38" s="7">
        <f t="shared" si="12"/>
        <v>51476.635000000002</v>
      </c>
      <c r="M38" s="7">
        <f t="shared" si="13"/>
        <v>122412</v>
      </c>
      <c r="N38" s="7">
        <f t="shared" si="14"/>
        <v>743030.73499999999</v>
      </c>
      <c r="O38" s="7">
        <f t="shared" si="15"/>
        <v>727730.26500000001</v>
      </c>
      <c r="P38" s="7">
        <f>55000</f>
        <v>55000</v>
      </c>
      <c r="Q38" s="7">
        <f t="shared" si="16"/>
        <v>672730.26500000001</v>
      </c>
      <c r="R38" s="7">
        <f t="shared" si="19"/>
        <v>-1248126.6724999999</v>
      </c>
      <c r="S38" s="18">
        <f>AC8</f>
        <v>126</v>
      </c>
      <c r="T38" s="18">
        <f>AC18</f>
        <v>60</v>
      </c>
      <c r="U38" s="18">
        <f>AB28</f>
        <v>65000</v>
      </c>
      <c r="V38" s="18">
        <f t="shared" si="17"/>
        <v>122412</v>
      </c>
      <c r="X38" s="15">
        <v>3</v>
      </c>
      <c r="Y38" s="19">
        <v>21422</v>
      </c>
      <c r="Z38" s="19">
        <v>30603</v>
      </c>
      <c r="AA38" s="19">
        <v>18362</v>
      </c>
      <c r="AB38" s="19">
        <v>18362</v>
      </c>
      <c r="AC38" s="19">
        <v>33663</v>
      </c>
      <c r="AD38" s="16">
        <f t="shared" si="18"/>
        <v>122412</v>
      </c>
      <c r="AE38" s="13"/>
      <c r="AF38" s="13"/>
      <c r="AG38" s="13"/>
      <c r="AH38" s="13"/>
      <c r="AI38" s="13"/>
      <c r="AJ38" s="13"/>
    </row>
    <row r="39" spans="1:37" x14ac:dyDescent="0.3">
      <c r="A39" s="8">
        <v>4</v>
      </c>
      <c r="B39" s="9">
        <v>0.74</v>
      </c>
      <c r="C39" s="7">
        <f t="shared" si="3"/>
        <v>1134420</v>
      </c>
      <c r="D39" s="7">
        <f t="shared" si="4"/>
        <v>253353.80000000002</v>
      </c>
      <c r="E39" s="7">
        <f t="shared" si="5"/>
        <v>206567.6</v>
      </c>
      <c r="F39" s="7">
        <f t="shared" si="6"/>
        <v>1594341.4000000001</v>
      </c>
      <c r="G39" s="7">
        <f t="shared" si="7"/>
        <v>170163</v>
      </c>
      <c r="H39" s="7">
        <f t="shared" si="8"/>
        <v>114009.21</v>
      </c>
      <c r="I39" s="7">
        <f t="shared" si="9"/>
        <v>103283.8</v>
      </c>
      <c r="J39" s="7">
        <f t="shared" si="10"/>
        <v>127547.31200000002</v>
      </c>
      <c r="K39" s="7">
        <f t="shared" si="11"/>
        <v>111603.89800000002</v>
      </c>
      <c r="L39" s="7">
        <f t="shared" si="12"/>
        <v>55801.949000000008</v>
      </c>
      <c r="M39" s="7">
        <f t="shared" si="13"/>
        <v>123635</v>
      </c>
      <c r="N39" s="7">
        <f t="shared" si="14"/>
        <v>806044.16900000011</v>
      </c>
      <c r="O39" s="7">
        <f t="shared" si="15"/>
        <v>788297.23100000003</v>
      </c>
      <c r="P39" s="7">
        <f>25000</f>
        <v>25000</v>
      </c>
      <c r="Q39" s="7">
        <f t="shared" si="16"/>
        <v>763297.23100000003</v>
      </c>
      <c r="R39" s="7">
        <f t="shared" si="19"/>
        <v>-484829.44149999984</v>
      </c>
      <c r="S39" s="18">
        <f>AC9</f>
        <v>134</v>
      </c>
      <c r="T39" s="18">
        <f>AC19</f>
        <v>68</v>
      </c>
      <c r="U39" s="18">
        <f>AB29</f>
        <v>78000</v>
      </c>
      <c r="V39" s="18">
        <f t="shared" si="17"/>
        <v>123635</v>
      </c>
      <c r="X39" s="15">
        <v>4</v>
      </c>
      <c r="Y39" s="19">
        <v>21636</v>
      </c>
      <c r="Z39" s="19">
        <v>30909</v>
      </c>
      <c r="AA39" s="19">
        <v>18545</v>
      </c>
      <c r="AB39" s="19">
        <v>18545</v>
      </c>
      <c r="AC39" s="19">
        <v>34000</v>
      </c>
      <c r="AD39" s="16">
        <f t="shared" si="18"/>
        <v>123635</v>
      </c>
      <c r="AE39" s="13"/>
      <c r="AF39" s="13"/>
      <c r="AG39" s="13"/>
      <c r="AH39" s="13"/>
      <c r="AI39" s="13"/>
      <c r="AJ39" s="13"/>
    </row>
    <row r="40" spans="1:37" x14ac:dyDescent="0.3">
      <c r="A40" s="8">
        <v>5</v>
      </c>
      <c r="B40" s="9">
        <v>0.77</v>
      </c>
      <c r="C40" s="7">
        <f t="shared" si="3"/>
        <v>1180410</v>
      </c>
      <c r="D40" s="7">
        <f t="shared" si="4"/>
        <v>275429</v>
      </c>
      <c r="E40" s="7">
        <f t="shared" si="5"/>
        <v>237551.25</v>
      </c>
      <c r="F40" s="7">
        <f t="shared" si="6"/>
        <v>1693390.25</v>
      </c>
      <c r="G40" s="7">
        <f t="shared" si="7"/>
        <v>177061.5</v>
      </c>
      <c r="H40" s="7">
        <f t="shared" si="8"/>
        <v>123943.05</v>
      </c>
      <c r="I40" s="7">
        <f t="shared" si="9"/>
        <v>118775.625</v>
      </c>
      <c r="J40" s="7">
        <f t="shared" si="10"/>
        <v>135471.22</v>
      </c>
      <c r="K40" s="7">
        <f t="shared" si="11"/>
        <v>118537.3175</v>
      </c>
      <c r="L40" s="7">
        <f t="shared" si="12"/>
        <v>59268.658750000002</v>
      </c>
      <c r="M40" s="7">
        <f t="shared" si="13"/>
        <v>124873</v>
      </c>
      <c r="N40" s="7">
        <f t="shared" si="14"/>
        <v>857930.37125000008</v>
      </c>
      <c r="O40" s="7">
        <f t="shared" si="15"/>
        <v>835459.87874999992</v>
      </c>
      <c r="P40" s="7">
        <f>25000</f>
        <v>25000</v>
      </c>
      <c r="Q40" s="7">
        <f t="shared" si="16"/>
        <v>810459.87874999992</v>
      </c>
      <c r="R40" s="7">
        <f t="shared" si="19"/>
        <v>325630.43725000008</v>
      </c>
      <c r="S40" s="18">
        <f>AC10</f>
        <v>140</v>
      </c>
      <c r="T40" s="18">
        <f>AC20</f>
        <v>75</v>
      </c>
      <c r="U40" s="18">
        <f>AB30</f>
        <v>90000</v>
      </c>
      <c r="V40" s="18">
        <f t="shared" si="17"/>
        <v>124873</v>
      </c>
      <c r="X40" s="15">
        <v>5</v>
      </c>
      <c r="Y40" s="19">
        <v>21853</v>
      </c>
      <c r="Z40" s="19">
        <v>31218</v>
      </c>
      <c r="AA40" s="19">
        <v>18731</v>
      </c>
      <c r="AB40" s="19">
        <v>18731</v>
      </c>
      <c r="AC40" s="19">
        <v>34340</v>
      </c>
      <c r="AD40" s="16">
        <f t="shared" si="18"/>
        <v>124873</v>
      </c>
      <c r="AE40" s="13"/>
      <c r="AF40" s="13"/>
      <c r="AG40" s="13"/>
      <c r="AH40" s="13"/>
      <c r="AI40" s="13"/>
      <c r="AJ40" s="13"/>
    </row>
    <row r="41" spans="1:37" x14ac:dyDescent="0.3">
      <c r="A41" s="8">
        <v>6</v>
      </c>
      <c r="B41" s="9">
        <v>0.79</v>
      </c>
      <c r="C41" s="7">
        <f t="shared" si="3"/>
        <v>1211070</v>
      </c>
      <c r="D41" s="7">
        <f t="shared" si="4"/>
        <v>292675.25</v>
      </c>
      <c r="E41" s="7">
        <f t="shared" si="5"/>
        <v>261476</v>
      </c>
      <c r="F41" s="7">
        <f t="shared" si="6"/>
        <v>1765221.25</v>
      </c>
      <c r="G41" s="7">
        <f t="shared" si="7"/>
        <v>181660.5</v>
      </c>
      <c r="H41" s="7">
        <f t="shared" si="8"/>
        <v>131703.86250000002</v>
      </c>
      <c r="I41" s="7">
        <f t="shared" si="9"/>
        <v>130738</v>
      </c>
      <c r="J41" s="7">
        <f t="shared" si="10"/>
        <v>141217.70000000001</v>
      </c>
      <c r="K41" s="7">
        <f t="shared" si="11"/>
        <v>123565.48750000002</v>
      </c>
      <c r="L41" s="7">
        <f t="shared" si="12"/>
        <v>61782.743750000009</v>
      </c>
      <c r="M41" s="7">
        <f t="shared" si="13"/>
        <v>126120</v>
      </c>
      <c r="N41" s="7">
        <f t="shared" si="14"/>
        <v>896788.29375000007</v>
      </c>
      <c r="O41" s="7">
        <f t="shared" si="15"/>
        <v>868432.95624999993</v>
      </c>
      <c r="P41" s="7">
        <f>55000</f>
        <v>55000</v>
      </c>
      <c r="Q41" s="7">
        <f t="shared" si="16"/>
        <v>813432.95624999993</v>
      </c>
      <c r="R41" s="7">
        <f t="shared" si="19"/>
        <v>1139063.3935</v>
      </c>
      <c r="S41" s="18">
        <f>AC11</f>
        <v>145</v>
      </c>
      <c r="T41" s="18">
        <f>AC21</f>
        <v>80</v>
      </c>
      <c r="U41" s="18">
        <f>AB31</f>
        <v>100000</v>
      </c>
      <c r="V41" s="18">
        <f t="shared" si="17"/>
        <v>126120</v>
      </c>
      <c r="X41" s="15">
        <v>6</v>
      </c>
      <c r="Y41" s="19">
        <v>22071</v>
      </c>
      <c r="Z41" s="19">
        <v>31530</v>
      </c>
      <c r="AA41" s="19">
        <v>18918</v>
      </c>
      <c r="AB41" s="19">
        <v>18918</v>
      </c>
      <c r="AC41" s="19">
        <v>34683</v>
      </c>
      <c r="AD41" s="16">
        <f t="shared" si="18"/>
        <v>126120</v>
      </c>
      <c r="AE41" s="13"/>
      <c r="AF41" s="13"/>
      <c r="AG41" s="13"/>
      <c r="AH41" s="13"/>
      <c r="AI41" s="13"/>
      <c r="AJ41" s="13"/>
    </row>
    <row r="42" spans="1:37" x14ac:dyDescent="0.3">
      <c r="A42" s="8">
        <v>7</v>
      </c>
      <c r="B42" s="9">
        <v>0.8</v>
      </c>
      <c r="C42" s="7">
        <f t="shared" si="3"/>
        <v>1226400</v>
      </c>
      <c r="D42" s="7">
        <f t="shared" si="4"/>
        <v>306600</v>
      </c>
      <c r="E42" s="7">
        <f t="shared" si="5"/>
        <v>283739.99999999802</v>
      </c>
      <c r="F42" s="7">
        <f t="shared" si="6"/>
        <v>1816739.9999999981</v>
      </c>
      <c r="G42" s="7">
        <f t="shared" si="7"/>
        <v>183960</v>
      </c>
      <c r="H42" s="7">
        <f t="shared" si="8"/>
        <v>137970</v>
      </c>
      <c r="I42" s="7">
        <f t="shared" si="9"/>
        <v>141869.99999999901</v>
      </c>
      <c r="J42" s="7">
        <f t="shared" si="10"/>
        <v>145339.19999999987</v>
      </c>
      <c r="K42" s="7">
        <f t="shared" si="11"/>
        <v>127171.79999999989</v>
      </c>
      <c r="L42" s="7">
        <f t="shared" si="12"/>
        <v>63585.899999999943</v>
      </c>
      <c r="M42" s="7">
        <f t="shared" si="13"/>
        <v>127382</v>
      </c>
      <c r="N42" s="7">
        <f t="shared" si="14"/>
        <v>927278.89999999874</v>
      </c>
      <c r="O42" s="7">
        <f t="shared" si="15"/>
        <v>889461.09999999939</v>
      </c>
      <c r="P42" s="7">
        <f>25000</f>
        <v>25000</v>
      </c>
      <c r="Q42" s="7">
        <f t="shared" si="16"/>
        <v>864461.09999999939</v>
      </c>
      <c r="R42" s="7">
        <f t="shared" si="19"/>
        <v>2003524.4934999994</v>
      </c>
      <c r="S42" s="18">
        <f>AC12</f>
        <v>150</v>
      </c>
      <c r="T42" s="18">
        <f>AC22</f>
        <v>85</v>
      </c>
      <c r="U42" s="18">
        <f>AB32</f>
        <v>109999.99999999799</v>
      </c>
      <c r="V42" s="18">
        <f t="shared" si="17"/>
        <v>127382</v>
      </c>
      <c r="X42" s="15">
        <v>7</v>
      </c>
      <c r="Y42" s="19">
        <v>22292</v>
      </c>
      <c r="Z42" s="19">
        <v>31846</v>
      </c>
      <c r="AA42" s="19">
        <v>19107</v>
      </c>
      <c r="AB42" s="19">
        <v>19107</v>
      </c>
      <c r="AC42" s="19">
        <v>35030</v>
      </c>
      <c r="AD42" s="16">
        <f t="shared" si="18"/>
        <v>127382</v>
      </c>
      <c r="AE42" s="13"/>
      <c r="AF42" s="13"/>
      <c r="AG42" s="13"/>
      <c r="AH42" s="13"/>
      <c r="AI42" s="13"/>
      <c r="AJ42" s="13"/>
    </row>
    <row r="43" spans="1:37" x14ac:dyDescent="0.3">
      <c r="A43" s="8">
        <v>8</v>
      </c>
      <c r="B43" s="10">
        <f t="shared" ref="B43:B70" si="20">$B$28</f>
        <v>0.8</v>
      </c>
      <c r="C43" s="7">
        <f t="shared" ref="C43:C70" si="21">F43*(C42/F42)</f>
        <v>1257059.9999999998</v>
      </c>
      <c r="D43" s="7">
        <f t="shared" ref="D43:D70" si="22">F43*(D42/F42)</f>
        <v>314264.99999999994</v>
      </c>
      <c r="E43" s="7">
        <f t="shared" ref="E43:E70" si="23">F43*(E42/F42)</f>
        <v>290833.4999999979</v>
      </c>
      <c r="F43" s="7">
        <f t="shared" ref="F43:F70" si="24">F42*(1+IF(A43&lt;=15,2.5%,1.8%))</f>
        <v>1862158.4999999979</v>
      </c>
      <c r="G43" s="7">
        <f t="shared" si="7"/>
        <v>188558.99999999997</v>
      </c>
      <c r="H43" s="7">
        <f t="shared" si="8"/>
        <v>141419.24999999997</v>
      </c>
      <c r="I43" s="7">
        <f t="shared" si="9"/>
        <v>145416.74999999895</v>
      </c>
      <c r="J43" s="7">
        <f t="shared" si="10"/>
        <v>148972.67999999985</v>
      </c>
      <c r="K43" s="7">
        <f t="shared" si="11"/>
        <v>130351.09499999987</v>
      </c>
      <c r="L43" s="7">
        <f t="shared" si="12"/>
        <v>65175.547499999935</v>
      </c>
      <c r="M43" s="7">
        <f t="shared" si="13"/>
        <v>130821.31399999998</v>
      </c>
      <c r="N43" s="7">
        <f t="shared" si="14"/>
        <v>950715.63649999863</v>
      </c>
      <c r="O43" s="7">
        <f t="shared" si="15"/>
        <v>911442.86349999928</v>
      </c>
      <c r="P43" s="7">
        <f t="shared" ref="P43:P70" si="25">30000+IF(MOD(A43,5)=0,70000,0)+IF(MOD(A43,10)=0,120000,0)</f>
        <v>30000</v>
      </c>
      <c r="Q43" s="7">
        <f t="shared" si="16"/>
        <v>881442.86349999928</v>
      </c>
      <c r="R43" s="7">
        <f t="shared" si="19"/>
        <v>2884967.3569999989</v>
      </c>
      <c r="S43" s="7">
        <f>S42</f>
        <v>150</v>
      </c>
      <c r="T43" s="7">
        <f>T42</f>
        <v>85</v>
      </c>
      <c r="U43" s="7">
        <f t="shared" ref="U43:U70" si="26">U42*(1+IF(A43&lt;=15,2.5%,1.8%))</f>
        <v>112749.99999999793</v>
      </c>
      <c r="V43" s="7">
        <f t="shared" ref="V43:V70" si="27">V42*(1+IF(A43&lt;=15,2.7%,2%))</f>
        <v>130821.31399999998</v>
      </c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</row>
    <row r="44" spans="1:37" x14ac:dyDescent="0.3">
      <c r="A44" s="8">
        <v>9</v>
      </c>
      <c r="B44" s="10">
        <f t="shared" si="20"/>
        <v>0.8</v>
      </c>
      <c r="C44" s="7">
        <f t="shared" si="21"/>
        <v>1288486.4999999995</v>
      </c>
      <c r="D44" s="7">
        <f t="shared" si="22"/>
        <v>322121.62499999988</v>
      </c>
      <c r="E44" s="7">
        <f t="shared" si="23"/>
        <v>298104.33749999781</v>
      </c>
      <c r="F44" s="7">
        <f t="shared" si="24"/>
        <v>1908712.4624999976</v>
      </c>
      <c r="G44" s="7">
        <f t="shared" si="7"/>
        <v>193272.97499999992</v>
      </c>
      <c r="H44" s="7">
        <f t="shared" si="8"/>
        <v>144954.73124999995</v>
      </c>
      <c r="I44" s="7">
        <f t="shared" si="9"/>
        <v>149052.16874999891</v>
      </c>
      <c r="J44" s="7">
        <f t="shared" si="10"/>
        <v>152696.9969999998</v>
      </c>
      <c r="K44" s="7">
        <f t="shared" si="11"/>
        <v>133609.87237499983</v>
      </c>
      <c r="L44" s="7">
        <f t="shared" si="12"/>
        <v>66804.936187499916</v>
      </c>
      <c r="M44" s="7">
        <f t="shared" si="13"/>
        <v>134353.48947799997</v>
      </c>
      <c r="N44" s="7">
        <f t="shared" si="14"/>
        <v>974745.17004049825</v>
      </c>
      <c r="O44" s="7">
        <f t="shared" si="15"/>
        <v>933967.29245949932</v>
      </c>
      <c r="P44" s="7">
        <f t="shared" si="25"/>
        <v>30000</v>
      </c>
      <c r="Q44" s="7">
        <f t="shared" si="16"/>
        <v>903967.29245949932</v>
      </c>
      <c r="R44" s="7">
        <f t="shared" si="19"/>
        <v>3788934.649459498</v>
      </c>
      <c r="S44" s="7">
        <f>S42</f>
        <v>150</v>
      </c>
      <c r="T44" s="7">
        <f>T42</f>
        <v>85</v>
      </c>
      <c r="U44" s="7">
        <f t="shared" si="26"/>
        <v>115568.74999999788</v>
      </c>
      <c r="V44" s="7">
        <f t="shared" si="27"/>
        <v>134353.48947799997</v>
      </c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</row>
    <row r="45" spans="1:37" x14ac:dyDescent="0.3">
      <c r="A45" s="8">
        <v>10</v>
      </c>
      <c r="B45" s="10">
        <f t="shared" si="20"/>
        <v>0.8</v>
      </c>
      <c r="C45" s="7">
        <f t="shared" si="21"/>
        <v>1320698.6624999994</v>
      </c>
      <c r="D45" s="7">
        <f t="shared" si="22"/>
        <v>330174.66562499985</v>
      </c>
      <c r="E45" s="7">
        <f t="shared" si="23"/>
        <v>305556.94593749777</v>
      </c>
      <c r="F45" s="7">
        <f t="shared" si="24"/>
        <v>1956430.2740624973</v>
      </c>
      <c r="G45" s="7">
        <f t="shared" si="7"/>
        <v>198104.79937499992</v>
      </c>
      <c r="H45" s="7">
        <f t="shared" si="8"/>
        <v>148578.59953124993</v>
      </c>
      <c r="I45" s="7">
        <f t="shared" si="9"/>
        <v>152778.47296874889</v>
      </c>
      <c r="J45" s="7">
        <f t="shared" si="10"/>
        <v>156514.4219249998</v>
      </c>
      <c r="K45" s="7">
        <f t="shared" si="11"/>
        <v>136950.11918437484</v>
      </c>
      <c r="L45" s="7">
        <f t="shared" si="12"/>
        <v>68475.059592187419</v>
      </c>
      <c r="M45" s="7">
        <f t="shared" si="13"/>
        <v>137981.03369390595</v>
      </c>
      <c r="N45" s="7">
        <f t="shared" si="14"/>
        <v>999382.50627046661</v>
      </c>
      <c r="O45" s="7">
        <f t="shared" si="15"/>
        <v>957047.7677920307</v>
      </c>
      <c r="P45" s="7">
        <f t="shared" si="25"/>
        <v>220000</v>
      </c>
      <c r="Q45" s="7">
        <f t="shared" si="16"/>
        <v>737047.7677920307</v>
      </c>
      <c r="R45" s="7">
        <f t="shared" si="19"/>
        <v>4525982.4172515292</v>
      </c>
      <c r="S45" s="7">
        <f>S42</f>
        <v>150</v>
      </c>
      <c r="T45" s="7">
        <f>T42</f>
        <v>85</v>
      </c>
      <c r="U45" s="7">
        <f t="shared" si="26"/>
        <v>118457.96874999782</v>
      </c>
      <c r="V45" s="7">
        <f t="shared" si="27"/>
        <v>137981.03369390595</v>
      </c>
      <c r="X45" s="12" t="s">
        <v>72</v>
      </c>
      <c r="Y45" s="22" t="s">
        <v>73</v>
      </c>
      <c r="Z45" s="23"/>
      <c r="AA45" s="23"/>
      <c r="AB45" s="23"/>
      <c r="AC45" s="23"/>
      <c r="AD45" s="23"/>
      <c r="AE45" s="23"/>
      <c r="AF45" s="23"/>
      <c r="AG45" s="23"/>
      <c r="AH45" s="23"/>
      <c r="AI45" s="23"/>
      <c r="AJ45" s="23"/>
      <c r="AK45" s="24"/>
    </row>
    <row r="46" spans="1:37" x14ac:dyDescent="0.3">
      <c r="A46" s="8">
        <v>11</v>
      </c>
      <c r="B46" s="10">
        <f t="shared" si="20"/>
        <v>0.8</v>
      </c>
      <c r="C46" s="7">
        <f t="shared" si="21"/>
        <v>1353716.1290624994</v>
      </c>
      <c r="D46" s="7">
        <f t="shared" si="22"/>
        <v>338429.03226562485</v>
      </c>
      <c r="E46" s="7">
        <f t="shared" si="23"/>
        <v>313195.86958593514</v>
      </c>
      <c r="F46" s="7">
        <f t="shared" si="24"/>
        <v>2005341.0309140596</v>
      </c>
      <c r="G46" s="7">
        <f t="shared" si="7"/>
        <v>203057.41935937491</v>
      </c>
      <c r="H46" s="7">
        <f t="shared" si="8"/>
        <v>152293.06451953118</v>
      </c>
      <c r="I46" s="7">
        <f t="shared" si="9"/>
        <v>156597.93479296757</v>
      </c>
      <c r="J46" s="7">
        <f t="shared" si="10"/>
        <v>160427.28247312477</v>
      </c>
      <c r="K46" s="7">
        <f t="shared" si="11"/>
        <v>140373.8721639842</v>
      </c>
      <c r="L46" s="7">
        <f t="shared" si="12"/>
        <v>70186.936081992098</v>
      </c>
      <c r="M46" s="7">
        <f t="shared" si="13"/>
        <v>141706.52160364139</v>
      </c>
      <c r="N46" s="7">
        <f t="shared" si="14"/>
        <v>1024643.0309946162</v>
      </c>
      <c r="O46" s="7">
        <f t="shared" si="15"/>
        <v>980697.99991944339</v>
      </c>
      <c r="P46" s="7">
        <f t="shared" si="25"/>
        <v>30000</v>
      </c>
      <c r="Q46" s="7">
        <f t="shared" si="16"/>
        <v>950697.99991944339</v>
      </c>
      <c r="R46" s="7">
        <f t="shared" si="19"/>
        <v>5476680.4171709726</v>
      </c>
      <c r="S46" s="7">
        <f>S42</f>
        <v>150</v>
      </c>
      <c r="T46" s="7">
        <f>T42</f>
        <v>85</v>
      </c>
      <c r="U46" s="7">
        <f t="shared" si="26"/>
        <v>121419.41796874776</v>
      </c>
      <c r="V46" s="7">
        <f t="shared" si="27"/>
        <v>141706.52160364139</v>
      </c>
      <c r="X46" s="13"/>
      <c r="Y46" s="25"/>
      <c r="Z46" s="26"/>
      <c r="AA46" s="26"/>
      <c r="AB46" s="26"/>
      <c r="AC46" s="26"/>
      <c r="AD46" s="26"/>
      <c r="AE46" s="26"/>
      <c r="AF46" s="26"/>
      <c r="AG46" s="26"/>
      <c r="AH46" s="26"/>
      <c r="AI46" s="26"/>
      <c r="AJ46" s="26"/>
      <c r="AK46" s="27"/>
    </row>
    <row r="47" spans="1:37" x14ac:dyDescent="0.3">
      <c r="A47" s="8">
        <v>12</v>
      </c>
      <c r="B47" s="10">
        <f t="shared" si="20"/>
        <v>0.8</v>
      </c>
      <c r="C47" s="7">
        <f t="shared" si="21"/>
        <v>1387559.0322890617</v>
      </c>
      <c r="D47" s="7">
        <f t="shared" si="22"/>
        <v>346889.75807226542</v>
      </c>
      <c r="E47" s="7">
        <f t="shared" si="23"/>
        <v>321025.76632558351</v>
      </c>
      <c r="F47" s="7">
        <f t="shared" si="24"/>
        <v>2055474.556686911</v>
      </c>
      <c r="G47" s="7">
        <f t="shared" si="7"/>
        <v>208133.85484335924</v>
      </c>
      <c r="H47" s="7">
        <f t="shared" si="8"/>
        <v>156100.39113251943</v>
      </c>
      <c r="I47" s="7">
        <f t="shared" si="9"/>
        <v>160512.88316279175</v>
      </c>
      <c r="J47" s="7">
        <f t="shared" si="10"/>
        <v>164437.96453495289</v>
      </c>
      <c r="K47" s="7">
        <f t="shared" si="11"/>
        <v>143883.21896808379</v>
      </c>
      <c r="L47" s="7">
        <f t="shared" si="12"/>
        <v>71941.609484041895</v>
      </c>
      <c r="M47" s="7">
        <f t="shared" si="13"/>
        <v>145532.5976869397</v>
      </c>
      <c r="N47" s="7">
        <f t="shared" si="14"/>
        <v>1050542.5198126887</v>
      </c>
      <c r="O47" s="7">
        <f t="shared" si="15"/>
        <v>1004932.0368742223</v>
      </c>
      <c r="P47" s="7">
        <f t="shared" si="25"/>
        <v>30000</v>
      </c>
      <c r="Q47" s="7">
        <f t="shared" si="16"/>
        <v>974932.03687422234</v>
      </c>
      <c r="R47" s="7">
        <f t="shared" si="19"/>
        <v>6451612.4540451951</v>
      </c>
      <c r="S47" s="7">
        <f>S42</f>
        <v>150</v>
      </c>
      <c r="T47" s="7">
        <f>T42</f>
        <v>85</v>
      </c>
      <c r="U47" s="7">
        <f t="shared" si="26"/>
        <v>124454.90341796644</v>
      </c>
      <c r="V47" s="7">
        <f t="shared" si="27"/>
        <v>145532.5976869397</v>
      </c>
      <c r="X47" s="13"/>
      <c r="Y47" s="28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30"/>
    </row>
    <row r="48" spans="1:37" x14ac:dyDescent="0.3">
      <c r="A48" s="8">
        <v>13</v>
      </c>
      <c r="B48" s="10">
        <f t="shared" si="20"/>
        <v>0.8</v>
      </c>
      <c r="C48" s="7">
        <f t="shared" si="21"/>
        <v>1422248.0080962882</v>
      </c>
      <c r="D48" s="7">
        <f t="shared" si="22"/>
        <v>355562.00202407205</v>
      </c>
      <c r="E48" s="7">
        <f t="shared" si="23"/>
        <v>329051.41048372304</v>
      </c>
      <c r="F48" s="7">
        <f t="shared" si="24"/>
        <v>2106861.4206040837</v>
      </c>
      <c r="G48" s="7">
        <f t="shared" si="7"/>
        <v>213337.20121444322</v>
      </c>
      <c r="H48" s="7">
        <f t="shared" si="8"/>
        <v>160002.90091083242</v>
      </c>
      <c r="I48" s="7">
        <f t="shared" si="9"/>
        <v>164525.70524186152</v>
      </c>
      <c r="J48" s="7">
        <f t="shared" si="10"/>
        <v>168548.91364832671</v>
      </c>
      <c r="K48" s="7">
        <f t="shared" si="11"/>
        <v>147480.29944228588</v>
      </c>
      <c r="L48" s="7">
        <f t="shared" si="12"/>
        <v>73740.149721142938</v>
      </c>
      <c r="M48" s="7">
        <f t="shared" si="13"/>
        <v>149461.97782448705</v>
      </c>
      <c r="N48" s="7">
        <f t="shared" si="14"/>
        <v>1077097.1480033798</v>
      </c>
      <c r="O48" s="7">
        <f t="shared" si="15"/>
        <v>1029764.2726007039</v>
      </c>
      <c r="P48" s="7">
        <f t="shared" si="25"/>
        <v>30000</v>
      </c>
      <c r="Q48" s="7">
        <f t="shared" si="16"/>
        <v>999764.27260070387</v>
      </c>
      <c r="R48" s="7">
        <f t="shared" si="19"/>
        <v>7451376.726645899</v>
      </c>
      <c r="S48" s="7">
        <f>S42</f>
        <v>150</v>
      </c>
      <c r="T48" s="7">
        <f>T42</f>
        <v>85</v>
      </c>
      <c r="U48" s="7">
        <f t="shared" si="26"/>
        <v>127566.27600341559</v>
      </c>
      <c r="V48" s="7">
        <f t="shared" si="27"/>
        <v>149461.97782448705</v>
      </c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</row>
    <row r="49" spans="1:37" x14ac:dyDescent="0.3">
      <c r="A49" s="8">
        <v>14</v>
      </c>
      <c r="B49" s="10">
        <f t="shared" si="20"/>
        <v>0.8</v>
      </c>
      <c r="C49" s="7">
        <f t="shared" si="21"/>
        <v>1457804.2082986955</v>
      </c>
      <c r="D49" s="7">
        <f t="shared" si="22"/>
        <v>364451.05207467388</v>
      </c>
      <c r="E49" s="7">
        <f t="shared" si="23"/>
        <v>337277.69574581611</v>
      </c>
      <c r="F49" s="7">
        <f t="shared" si="24"/>
        <v>2159532.9561191858</v>
      </c>
      <c r="G49" s="7">
        <f t="shared" si="7"/>
        <v>218670.63124480433</v>
      </c>
      <c r="H49" s="7">
        <f t="shared" si="8"/>
        <v>164002.97343360324</v>
      </c>
      <c r="I49" s="7">
        <f t="shared" si="9"/>
        <v>168638.84787290805</v>
      </c>
      <c r="J49" s="7">
        <f t="shared" si="10"/>
        <v>172762.63648953487</v>
      </c>
      <c r="K49" s="7">
        <f t="shared" si="11"/>
        <v>151167.30692834302</v>
      </c>
      <c r="L49" s="7">
        <f t="shared" si="12"/>
        <v>75583.653464171512</v>
      </c>
      <c r="M49" s="7">
        <f t="shared" si="13"/>
        <v>153497.4512257482</v>
      </c>
      <c r="N49" s="7">
        <f t="shared" si="14"/>
        <v>1104323.5006591133</v>
      </c>
      <c r="O49" s="7">
        <f t="shared" si="15"/>
        <v>1055209.4554600725</v>
      </c>
      <c r="P49" s="7">
        <f t="shared" si="25"/>
        <v>30000</v>
      </c>
      <c r="Q49" s="7">
        <f t="shared" si="16"/>
        <v>1025209.4554600725</v>
      </c>
      <c r="R49" s="7">
        <f t="shared" si="19"/>
        <v>8476586.1821059715</v>
      </c>
      <c r="S49" s="7">
        <f>S42</f>
        <v>150</v>
      </c>
      <c r="T49" s="7">
        <f>T42</f>
        <v>85</v>
      </c>
      <c r="U49" s="7">
        <f t="shared" si="26"/>
        <v>130755.43290350097</v>
      </c>
      <c r="V49" s="7">
        <f t="shared" si="27"/>
        <v>153497.4512257482</v>
      </c>
      <c r="X49" s="12" t="s">
        <v>74</v>
      </c>
      <c r="Y49" s="22" t="s">
        <v>75</v>
      </c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24"/>
    </row>
    <row r="50" spans="1:37" x14ac:dyDescent="0.3">
      <c r="A50" s="8">
        <v>15</v>
      </c>
      <c r="B50" s="10">
        <f t="shared" si="20"/>
        <v>0.8</v>
      </c>
      <c r="C50" s="7">
        <f t="shared" si="21"/>
        <v>1494249.3135061627</v>
      </c>
      <c r="D50" s="7">
        <f t="shared" si="22"/>
        <v>373562.32837654068</v>
      </c>
      <c r="E50" s="7">
        <f t="shared" si="23"/>
        <v>345709.63813946152</v>
      </c>
      <c r="F50" s="7">
        <f t="shared" si="24"/>
        <v>2213521.2800221653</v>
      </c>
      <c r="G50" s="7">
        <f t="shared" si="7"/>
        <v>224137.39702592441</v>
      </c>
      <c r="H50" s="7">
        <f t="shared" si="8"/>
        <v>168103.04776944331</v>
      </c>
      <c r="I50" s="7">
        <f t="shared" si="9"/>
        <v>172854.81906973076</v>
      </c>
      <c r="J50" s="7">
        <f t="shared" si="10"/>
        <v>177081.70240177322</v>
      </c>
      <c r="K50" s="7">
        <f t="shared" si="11"/>
        <v>154946.48960155158</v>
      </c>
      <c r="L50" s="7">
        <f t="shared" si="12"/>
        <v>77473.244800775792</v>
      </c>
      <c r="M50" s="7">
        <f t="shared" si="13"/>
        <v>157641.88240884338</v>
      </c>
      <c r="N50" s="7">
        <f t="shared" si="14"/>
        <v>1132238.5830780424</v>
      </c>
      <c r="O50" s="7">
        <f t="shared" si="15"/>
        <v>1081282.6969441229</v>
      </c>
      <c r="P50" s="7">
        <f t="shared" si="25"/>
        <v>100000</v>
      </c>
      <c r="Q50" s="7">
        <f t="shared" si="16"/>
        <v>981282.6969441229</v>
      </c>
      <c r="R50" s="7">
        <f t="shared" si="19"/>
        <v>9457868.8790500946</v>
      </c>
      <c r="S50" s="7">
        <f>S42</f>
        <v>150</v>
      </c>
      <c r="T50" s="7">
        <f>T42</f>
        <v>85</v>
      </c>
      <c r="U50" s="7">
        <f t="shared" si="26"/>
        <v>134024.31872608847</v>
      </c>
      <c r="V50" s="7">
        <f t="shared" si="27"/>
        <v>157641.88240884338</v>
      </c>
      <c r="X50" s="13"/>
      <c r="Y50" s="25"/>
      <c r="Z50" s="26"/>
      <c r="AA50" s="26"/>
      <c r="AB50" s="26"/>
      <c r="AC50" s="26"/>
      <c r="AD50" s="26"/>
      <c r="AE50" s="26"/>
      <c r="AF50" s="26"/>
      <c r="AG50" s="26"/>
      <c r="AH50" s="26"/>
      <c r="AI50" s="26"/>
      <c r="AJ50" s="26"/>
      <c r="AK50" s="27"/>
    </row>
    <row r="51" spans="1:37" x14ac:dyDescent="0.3">
      <c r="A51" s="8">
        <v>16</v>
      </c>
      <c r="B51" s="10">
        <f t="shared" si="20"/>
        <v>0.8</v>
      </c>
      <c r="C51" s="7">
        <f t="shared" si="21"/>
        <v>1521145.8011492735</v>
      </c>
      <c r="D51" s="7">
        <f t="shared" si="22"/>
        <v>380286.45028731838</v>
      </c>
      <c r="E51" s="7">
        <f t="shared" si="23"/>
        <v>351932.41162597178</v>
      </c>
      <c r="F51" s="7">
        <f t="shared" si="24"/>
        <v>2253364.6630625641</v>
      </c>
      <c r="G51" s="7">
        <f t="shared" si="7"/>
        <v>228171.87017239103</v>
      </c>
      <c r="H51" s="7">
        <f t="shared" si="8"/>
        <v>171128.90262929327</v>
      </c>
      <c r="I51" s="7">
        <f t="shared" si="9"/>
        <v>175966.20581298589</v>
      </c>
      <c r="J51" s="7">
        <f t="shared" si="10"/>
        <v>180269.17304500513</v>
      </c>
      <c r="K51" s="7">
        <f t="shared" si="11"/>
        <v>157735.52641437951</v>
      </c>
      <c r="L51" s="7">
        <f t="shared" si="12"/>
        <v>78867.763207189753</v>
      </c>
      <c r="M51" s="7">
        <f t="shared" si="13"/>
        <v>160794.72005702025</v>
      </c>
      <c r="N51" s="7">
        <f t="shared" si="14"/>
        <v>1152934.1613382648</v>
      </c>
      <c r="O51" s="7">
        <f t="shared" si="15"/>
        <v>1100430.5017242993</v>
      </c>
      <c r="P51" s="7">
        <f t="shared" si="25"/>
        <v>30000</v>
      </c>
      <c r="Q51" s="7">
        <f t="shared" si="16"/>
        <v>1070430.5017242993</v>
      </c>
      <c r="R51" s="7">
        <f t="shared" si="19"/>
        <v>10528299.380774394</v>
      </c>
      <c r="S51" s="7">
        <f>S42</f>
        <v>150</v>
      </c>
      <c r="T51" s="7">
        <f>T42</f>
        <v>85</v>
      </c>
      <c r="U51" s="7">
        <f t="shared" si="26"/>
        <v>136436.75646315806</v>
      </c>
      <c r="V51" s="7">
        <f t="shared" si="27"/>
        <v>160794.72005702025</v>
      </c>
      <c r="X51" s="13"/>
      <c r="Y51" s="25"/>
      <c r="Z51" s="26"/>
      <c r="AA51" s="26"/>
      <c r="AB51" s="26"/>
      <c r="AC51" s="26"/>
      <c r="AD51" s="26"/>
      <c r="AE51" s="26"/>
      <c r="AF51" s="26"/>
      <c r="AG51" s="26"/>
      <c r="AH51" s="26"/>
      <c r="AI51" s="26"/>
      <c r="AJ51" s="26"/>
      <c r="AK51" s="27"/>
    </row>
    <row r="52" spans="1:37" x14ac:dyDescent="0.3">
      <c r="A52" s="8">
        <v>17</v>
      </c>
      <c r="B52" s="10">
        <f t="shared" si="20"/>
        <v>0.8</v>
      </c>
      <c r="C52" s="7">
        <f t="shared" si="21"/>
        <v>1548526.4255699604</v>
      </c>
      <c r="D52" s="7">
        <f t="shared" si="22"/>
        <v>387131.6063924901</v>
      </c>
      <c r="E52" s="7">
        <f t="shared" si="23"/>
        <v>358267.19503523927</v>
      </c>
      <c r="F52" s="7">
        <f t="shared" si="24"/>
        <v>2293925.2269976903</v>
      </c>
      <c r="G52" s="7">
        <f t="shared" si="7"/>
        <v>232278.96383549404</v>
      </c>
      <c r="H52" s="7">
        <f t="shared" si="8"/>
        <v>174209.22287662054</v>
      </c>
      <c r="I52" s="7">
        <f t="shared" si="9"/>
        <v>179133.59751761964</v>
      </c>
      <c r="J52" s="7">
        <f t="shared" si="10"/>
        <v>183514.01815981523</v>
      </c>
      <c r="K52" s="7">
        <f t="shared" si="11"/>
        <v>160574.76588983834</v>
      </c>
      <c r="L52" s="7">
        <f t="shared" si="12"/>
        <v>80287.382944919169</v>
      </c>
      <c r="M52" s="7">
        <f t="shared" si="13"/>
        <v>164010.61445816065</v>
      </c>
      <c r="N52" s="7">
        <f t="shared" si="14"/>
        <v>1174008.5656824675</v>
      </c>
      <c r="O52" s="7">
        <f t="shared" si="15"/>
        <v>1119916.6613152227</v>
      </c>
      <c r="P52" s="7">
        <f t="shared" si="25"/>
        <v>30000</v>
      </c>
      <c r="Q52" s="7">
        <f t="shared" si="16"/>
        <v>1089916.6613152227</v>
      </c>
      <c r="R52" s="7">
        <f t="shared" si="19"/>
        <v>11618216.042089617</v>
      </c>
      <c r="S52" s="7">
        <f>S42</f>
        <v>150</v>
      </c>
      <c r="T52" s="7">
        <f>T42</f>
        <v>85</v>
      </c>
      <c r="U52" s="7">
        <f t="shared" si="26"/>
        <v>138892.61807949492</v>
      </c>
      <c r="V52" s="7">
        <f t="shared" si="27"/>
        <v>164010.61445816065</v>
      </c>
      <c r="X52" s="13"/>
      <c r="Y52" s="28"/>
      <c r="Z52" s="29"/>
      <c r="AA52" s="29"/>
      <c r="AB52" s="29"/>
      <c r="AC52" s="29"/>
      <c r="AD52" s="29"/>
      <c r="AE52" s="29"/>
      <c r="AF52" s="29"/>
      <c r="AG52" s="29"/>
      <c r="AH52" s="29"/>
      <c r="AI52" s="29"/>
      <c r="AJ52" s="29"/>
      <c r="AK52" s="30"/>
    </row>
    <row r="53" spans="1:37" x14ac:dyDescent="0.3">
      <c r="A53" s="8">
        <v>18</v>
      </c>
      <c r="B53" s="10">
        <f t="shared" si="20"/>
        <v>0.8</v>
      </c>
      <c r="C53" s="7">
        <f t="shared" si="21"/>
        <v>1576399.9012302198</v>
      </c>
      <c r="D53" s="7">
        <f t="shared" si="22"/>
        <v>394099.97530755494</v>
      </c>
      <c r="E53" s="7">
        <f t="shared" si="23"/>
        <v>364716.00454587361</v>
      </c>
      <c r="F53" s="7">
        <f t="shared" si="24"/>
        <v>2335215.8810836487</v>
      </c>
      <c r="G53" s="7">
        <f t="shared" si="7"/>
        <v>236459.98518453294</v>
      </c>
      <c r="H53" s="7">
        <f t="shared" si="8"/>
        <v>177344.98888839973</v>
      </c>
      <c r="I53" s="7">
        <f t="shared" si="9"/>
        <v>182358.00227293681</v>
      </c>
      <c r="J53" s="7">
        <f t="shared" si="10"/>
        <v>186817.27048669191</v>
      </c>
      <c r="K53" s="7">
        <f t="shared" si="11"/>
        <v>163465.11167585541</v>
      </c>
      <c r="L53" s="7">
        <f t="shared" si="12"/>
        <v>81732.555837927706</v>
      </c>
      <c r="M53" s="7">
        <f t="shared" si="13"/>
        <v>167290.82674732385</v>
      </c>
      <c r="N53" s="7">
        <f t="shared" si="14"/>
        <v>1195468.7410936686</v>
      </c>
      <c r="O53" s="7">
        <f t="shared" si="15"/>
        <v>1139747.13998998</v>
      </c>
      <c r="P53" s="7">
        <f t="shared" si="25"/>
        <v>30000</v>
      </c>
      <c r="Q53" s="7">
        <f t="shared" si="16"/>
        <v>1109747.13998998</v>
      </c>
      <c r="R53" s="7">
        <f t="shared" si="19"/>
        <v>12727963.182079596</v>
      </c>
      <c r="S53" s="7">
        <f>S42</f>
        <v>150</v>
      </c>
      <c r="T53" s="7">
        <f>T42</f>
        <v>85</v>
      </c>
      <c r="U53" s="7">
        <f t="shared" si="26"/>
        <v>141392.68520492583</v>
      </c>
      <c r="V53" s="7">
        <f t="shared" si="27"/>
        <v>167290.82674732385</v>
      </c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</row>
    <row r="54" spans="1:37" x14ac:dyDescent="0.3">
      <c r="A54" s="8">
        <v>19</v>
      </c>
      <c r="B54" s="10">
        <f t="shared" si="20"/>
        <v>0.8</v>
      </c>
      <c r="C54" s="7">
        <f t="shared" si="21"/>
        <v>1604775.0994523638</v>
      </c>
      <c r="D54" s="7">
        <f t="shared" si="22"/>
        <v>401193.77486309095</v>
      </c>
      <c r="E54" s="7">
        <f t="shared" si="23"/>
        <v>371280.8926276993</v>
      </c>
      <c r="F54" s="7">
        <f t="shared" si="24"/>
        <v>2377249.7669431544</v>
      </c>
      <c r="G54" s="7">
        <f t="shared" si="7"/>
        <v>240716.26491785457</v>
      </c>
      <c r="H54" s="7">
        <f t="shared" si="8"/>
        <v>180537.19868839093</v>
      </c>
      <c r="I54" s="7">
        <f t="shared" si="9"/>
        <v>185640.44631384965</v>
      </c>
      <c r="J54" s="7">
        <f t="shared" si="10"/>
        <v>190179.98135545236</v>
      </c>
      <c r="K54" s="7">
        <f t="shared" si="11"/>
        <v>166407.48368602083</v>
      </c>
      <c r="L54" s="7">
        <f t="shared" si="12"/>
        <v>83203.741843010415</v>
      </c>
      <c r="M54" s="7">
        <f t="shared" si="13"/>
        <v>170636.64328227032</v>
      </c>
      <c r="N54" s="7">
        <f t="shared" si="14"/>
        <v>1217321.7600868491</v>
      </c>
      <c r="O54" s="7">
        <f t="shared" si="15"/>
        <v>1159928.0068563053</v>
      </c>
      <c r="P54" s="7">
        <f t="shared" si="25"/>
        <v>30000</v>
      </c>
      <c r="Q54" s="7">
        <f t="shared" si="16"/>
        <v>1129928.0068563053</v>
      </c>
      <c r="R54" s="7">
        <f t="shared" si="19"/>
        <v>13857891.188935902</v>
      </c>
      <c r="S54" s="7">
        <f>S42</f>
        <v>150</v>
      </c>
      <c r="T54" s="7">
        <f>T42</f>
        <v>85</v>
      </c>
      <c r="U54" s="7">
        <f t="shared" si="26"/>
        <v>143937.75353861449</v>
      </c>
      <c r="V54" s="7">
        <f t="shared" si="27"/>
        <v>170636.64328227032</v>
      </c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</row>
    <row r="55" spans="1:37" x14ac:dyDescent="0.3">
      <c r="A55" s="8">
        <v>20</v>
      </c>
      <c r="B55" s="10">
        <f t="shared" si="20"/>
        <v>0.8</v>
      </c>
      <c r="C55" s="7">
        <f t="shared" si="21"/>
        <v>1633661.0512425061</v>
      </c>
      <c r="D55" s="7">
        <f t="shared" si="22"/>
        <v>408415.26281062653</v>
      </c>
      <c r="E55" s="7">
        <f t="shared" si="23"/>
        <v>377963.94869499787</v>
      </c>
      <c r="F55" s="7">
        <f t="shared" si="24"/>
        <v>2420040.2627481311</v>
      </c>
      <c r="G55" s="7">
        <f t="shared" si="7"/>
        <v>245049.1576863759</v>
      </c>
      <c r="H55" s="7">
        <f t="shared" si="8"/>
        <v>183786.86826478195</v>
      </c>
      <c r="I55" s="7">
        <f t="shared" si="9"/>
        <v>188981.97434749894</v>
      </c>
      <c r="J55" s="7">
        <f t="shared" si="10"/>
        <v>193603.22101985049</v>
      </c>
      <c r="K55" s="7">
        <f t="shared" si="11"/>
        <v>169402.8183923692</v>
      </c>
      <c r="L55" s="7">
        <f t="shared" si="12"/>
        <v>84701.409196184599</v>
      </c>
      <c r="M55" s="7">
        <f t="shared" si="13"/>
        <v>174049.37614791573</v>
      </c>
      <c r="N55" s="7">
        <f t="shared" si="14"/>
        <v>1239574.8250549766</v>
      </c>
      <c r="O55" s="7">
        <f t="shared" si="15"/>
        <v>1180465.4376931544</v>
      </c>
      <c r="P55" s="7">
        <f t="shared" si="25"/>
        <v>220000</v>
      </c>
      <c r="Q55" s="7">
        <f t="shared" si="16"/>
        <v>960465.43769315444</v>
      </c>
      <c r="R55" s="7">
        <f t="shared" si="19"/>
        <v>14818356.626629056</v>
      </c>
      <c r="S55" s="7">
        <f>S42</f>
        <v>150</v>
      </c>
      <c r="T55" s="7">
        <f>T42</f>
        <v>85</v>
      </c>
      <c r="U55" s="7">
        <f t="shared" si="26"/>
        <v>146528.63310230954</v>
      </c>
      <c r="V55" s="7">
        <f t="shared" si="27"/>
        <v>174049.37614791573</v>
      </c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</row>
    <row r="56" spans="1:37" x14ac:dyDescent="0.3">
      <c r="A56" s="8">
        <v>21</v>
      </c>
      <c r="B56" s="10">
        <f t="shared" si="20"/>
        <v>0.8</v>
      </c>
      <c r="C56" s="7">
        <f t="shared" si="21"/>
        <v>1663066.9501648713</v>
      </c>
      <c r="D56" s="7">
        <f t="shared" si="22"/>
        <v>415766.73754121782</v>
      </c>
      <c r="E56" s="7">
        <f t="shared" si="23"/>
        <v>384767.29977150785</v>
      </c>
      <c r="F56" s="7">
        <f t="shared" si="24"/>
        <v>2463600.9874775973</v>
      </c>
      <c r="G56" s="7">
        <f t="shared" si="7"/>
        <v>249460.04252473067</v>
      </c>
      <c r="H56" s="7">
        <f t="shared" si="8"/>
        <v>187095.03189354803</v>
      </c>
      <c r="I56" s="7">
        <f t="shared" si="9"/>
        <v>192383.64988575393</v>
      </c>
      <c r="J56" s="7">
        <f t="shared" si="10"/>
        <v>197088.07899820778</v>
      </c>
      <c r="K56" s="7">
        <f t="shared" si="11"/>
        <v>172452.06912343184</v>
      </c>
      <c r="L56" s="7">
        <f t="shared" si="12"/>
        <v>86226.034561715918</v>
      </c>
      <c r="M56" s="7">
        <f t="shared" si="13"/>
        <v>177530.36367087404</v>
      </c>
      <c r="N56" s="7">
        <f t="shared" si="14"/>
        <v>1262235.2706582621</v>
      </c>
      <c r="O56" s="7">
        <f t="shared" si="15"/>
        <v>1201365.7168193352</v>
      </c>
      <c r="P56" s="7">
        <f t="shared" si="25"/>
        <v>30000</v>
      </c>
      <c r="Q56" s="7">
        <f t="shared" si="16"/>
        <v>1171365.7168193352</v>
      </c>
      <c r="R56" s="7">
        <f t="shared" si="19"/>
        <v>15989722.343448391</v>
      </c>
      <c r="S56" s="7">
        <f>S42</f>
        <v>150</v>
      </c>
      <c r="T56" s="7">
        <f>T42</f>
        <v>85</v>
      </c>
      <c r="U56" s="7">
        <f t="shared" si="26"/>
        <v>149166.1484981511</v>
      </c>
      <c r="V56" s="7">
        <f t="shared" si="27"/>
        <v>177530.36367087404</v>
      </c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</row>
    <row r="57" spans="1:37" x14ac:dyDescent="0.3">
      <c r="A57" s="8">
        <v>22</v>
      </c>
      <c r="B57" s="10">
        <f t="shared" si="20"/>
        <v>0.8</v>
      </c>
      <c r="C57" s="7">
        <f t="shared" si="21"/>
        <v>1693002.1552678389</v>
      </c>
      <c r="D57" s="7">
        <f t="shared" si="22"/>
        <v>423250.53881695971</v>
      </c>
      <c r="E57" s="7">
        <f t="shared" si="23"/>
        <v>391693.11116739496</v>
      </c>
      <c r="F57" s="7">
        <f t="shared" si="24"/>
        <v>2507945.8052521939</v>
      </c>
      <c r="G57" s="7">
        <f t="shared" si="7"/>
        <v>253950.32329017582</v>
      </c>
      <c r="H57" s="7">
        <f t="shared" si="8"/>
        <v>190462.74246763188</v>
      </c>
      <c r="I57" s="7">
        <f t="shared" si="9"/>
        <v>195846.55558369748</v>
      </c>
      <c r="J57" s="7">
        <f t="shared" si="10"/>
        <v>200635.66442017551</v>
      </c>
      <c r="K57" s="7">
        <f t="shared" si="11"/>
        <v>175556.20636765359</v>
      </c>
      <c r="L57" s="7">
        <f t="shared" si="12"/>
        <v>87778.103183826795</v>
      </c>
      <c r="M57" s="7">
        <f t="shared" si="13"/>
        <v>181080.97094429153</v>
      </c>
      <c r="N57" s="7">
        <f t="shared" si="14"/>
        <v>1285310.5662574526</v>
      </c>
      <c r="O57" s="7">
        <f t="shared" si="15"/>
        <v>1222635.2389947413</v>
      </c>
      <c r="P57" s="7">
        <f t="shared" si="25"/>
        <v>30000</v>
      </c>
      <c r="Q57" s="7">
        <f t="shared" si="16"/>
        <v>1192635.2389947413</v>
      </c>
      <c r="R57" s="7">
        <f t="shared" si="19"/>
        <v>17182357.582443133</v>
      </c>
      <c r="S57" s="7">
        <f>S42</f>
        <v>150</v>
      </c>
      <c r="T57" s="7">
        <f>T42</f>
        <v>85</v>
      </c>
      <c r="U57" s="7">
        <f t="shared" si="26"/>
        <v>151851.13917111783</v>
      </c>
      <c r="V57" s="7">
        <f t="shared" si="27"/>
        <v>181080.97094429153</v>
      </c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</row>
    <row r="58" spans="1:37" x14ac:dyDescent="0.3">
      <c r="A58" s="8">
        <v>23</v>
      </c>
      <c r="B58" s="10">
        <f t="shared" si="20"/>
        <v>0.8</v>
      </c>
      <c r="C58" s="7">
        <f t="shared" si="21"/>
        <v>1723476.19406266</v>
      </c>
      <c r="D58" s="7">
        <f t="shared" si="22"/>
        <v>430869.048515665</v>
      </c>
      <c r="E58" s="7">
        <f t="shared" si="23"/>
        <v>398743.58716840809</v>
      </c>
      <c r="F58" s="7">
        <f t="shared" si="24"/>
        <v>2553088.8297467334</v>
      </c>
      <c r="G58" s="7">
        <f t="shared" si="7"/>
        <v>258521.42910939897</v>
      </c>
      <c r="H58" s="7">
        <f t="shared" si="8"/>
        <v>193891.07183204926</v>
      </c>
      <c r="I58" s="7">
        <f t="shared" si="9"/>
        <v>199371.79358420405</v>
      </c>
      <c r="J58" s="7">
        <f t="shared" si="10"/>
        <v>204247.10637973869</v>
      </c>
      <c r="K58" s="7">
        <f t="shared" si="11"/>
        <v>178716.21808227137</v>
      </c>
      <c r="L58" s="7">
        <f t="shared" si="12"/>
        <v>89358.109041135685</v>
      </c>
      <c r="M58" s="7">
        <f t="shared" si="13"/>
        <v>184702.59036317735</v>
      </c>
      <c r="N58" s="7">
        <f t="shared" si="14"/>
        <v>1308808.3183919755</v>
      </c>
      <c r="O58" s="7">
        <f t="shared" si="15"/>
        <v>1244280.5113547579</v>
      </c>
      <c r="P58" s="7">
        <f t="shared" si="25"/>
        <v>30000</v>
      </c>
      <c r="Q58" s="7">
        <f t="shared" si="16"/>
        <v>1214280.5113547579</v>
      </c>
      <c r="R58" s="7">
        <f t="shared" si="19"/>
        <v>18396638.093797892</v>
      </c>
      <c r="S58" s="7">
        <f>S42</f>
        <v>150</v>
      </c>
      <c r="T58" s="7">
        <f>T42</f>
        <v>85</v>
      </c>
      <c r="U58" s="7">
        <f t="shared" si="26"/>
        <v>154584.45967619796</v>
      </c>
      <c r="V58" s="7">
        <f t="shared" si="27"/>
        <v>184702.59036317735</v>
      </c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</row>
    <row r="59" spans="1:37" x14ac:dyDescent="0.3">
      <c r="A59" s="8">
        <v>24</v>
      </c>
      <c r="B59" s="10">
        <f t="shared" si="20"/>
        <v>0.8</v>
      </c>
      <c r="C59" s="7">
        <f t="shared" si="21"/>
        <v>1754498.7655557878</v>
      </c>
      <c r="D59" s="7">
        <f t="shared" si="22"/>
        <v>438624.69138894696</v>
      </c>
      <c r="E59" s="7">
        <f t="shared" si="23"/>
        <v>405920.97173743939</v>
      </c>
      <c r="F59" s="7">
        <f t="shared" si="24"/>
        <v>2599044.4286821745</v>
      </c>
      <c r="G59" s="7">
        <f t="shared" si="7"/>
        <v>263174.81483336817</v>
      </c>
      <c r="H59" s="7">
        <f t="shared" si="8"/>
        <v>197381.11112502613</v>
      </c>
      <c r="I59" s="7">
        <f t="shared" si="9"/>
        <v>202960.4858687197</v>
      </c>
      <c r="J59" s="7">
        <f t="shared" si="10"/>
        <v>207923.55429457396</v>
      </c>
      <c r="K59" s="7">
        <f t="shared" si="11"/>
        <v>181933.11000775223</v>
      </c>
      <c r="L59" s="7">
        <f t="shared" si="12"/>
        <v>90966.555003876114</v>
      </c>
      <c r="M59" s="7">
        <f t="shared" si="13"/>
        <v>188396.6421704409</v>
      </c>
      <c r="N59" s="7">
        <f t="shared" si="14"/>
        <v>1332736.2733037572</v>
      </c>
      <c r="O59" s="7">
        <f t="shared" si="15"/>
        <v>1266308.1553784173</v>
      </c>
      <c r="P59" s="7">
        <f t="shared" si="25"/>
        <v>30000</v>
      </c>
      <c r="Q59" s="7">
        <f t="shared" si="16"/>
        <v>1236308.1553784173</v>
      </c>
      <c r="R59" s="7">
        <f t="shared" si="19"/>
        <v>19632946.249176309</v>
      </c>
      <c r="S59" s="7">
        <f>S42</f>
        <v>150</v>
      </c>
      <c r="T59" s="7">
        <f>T42</f>
        <v>85</v>
      </c>
      <c r="U59" s="7">
        <f t="shared" si="26"/>
        <v>157366.97995036954</v>
      </c>
      <c r="V59" s="7">
        <f t="shared" si="27"/>
        <v>188396.6421704409</v>
      </c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</row>
    <row r="60" spans="1:37" x14ac:dyDescent="0.3">
      <c r="A60" s="8">
        <v>25</v>
      </c>
      <c r="B60" s="10">
        <f t="shared" si="20"/>
        <v>0.8</v>
      </c>
      <c r="C60" s="7">
        <f t="shared" si="21"/>
        <v>1786079.7433357921</v>
      </c>
      <c r="D60" s="7">
        <f t="shared" si="22"/>
        <v>446519.93583394802</v>
      </c>
      <c r="E60" s="7">
        <f t="shared" si="23"/>
        <v>413227.54922871332</v>
      </c>
      <c r="F60" s="7">
        <f t="shared" si="24"/>
        <v>2645827.2283984539</v>
      </c>
      <c r="G60" s="7">
        <f t="shared" si="7"/>
        <v>267911.96150036878</v>
      </c>
      <c r="H60" s="7">
        <f t="shared" si="8"/>
        <v>200933.97112527661</v>
      </c>
      <c r="I60" s="7">
        <f t="shared" si="9"/>
        <v>206613.77461435666</v>
      </c>
      <c r="J60" s="7">
        <f t="shared" si="10"/>
        <v>211666.17827187633</v>
      </c>
      <c r="K60" s="7">
        <f t="shared" si="11"/>
        <v>185207.90598789181</v>
      </c>
      <c r="L60" s="7">
        <f t="shared" si="12"/>
        <v>92603.952993945903</v>
      </c>
      <c r="M60" s="7">
        <f t="shared" si="13"/>
        <v>192164.57501384971</v>
      </c>
      <c r="N60" s="7">
        <f t="shared" si="14"/>
        <v>1357102.3195075658</v>
      </c>
      <c r="O60" s="7">
        <f t="shared" si="15"/>
        <v>1288724.9088908881</v>
      </c>
      <c r="P60" s="7">
        <f t="shared" si="25"/>
        <v>100000</v>
      </c>
      <c r="Q60" s="7">
        <f t="shared" si="16"/>
        <v>1188724.9088908881</v>
      </c>
      <c r="R60" s="7">
        <f t="shared" si="19"/>
        <v>20821671.158067197</v>
      </c>
      <c r="S60" s="7">
        <f>S42</f>
        <v>150</v>
      </c>
      <c r="T60" s="7">
        <f>T42</f>
        <v>85</v>
      </c>
      <c r="U60" s="7">
        <f t="shared" si="26"/>
        <v>160199.58558947619</v>
      </c>
      <c r="V60" s="7">
        <f t="shared" si="27"/>
        <v>192164.57501384971</v>
      </c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</row>
    <row r="61" spans="1:37" x14ac:dyDescent="0.3">
      <c r="A61" s="8">
        <v>26</v>
      </c>
      <c r="B61" s="10">
        <f t="shared" si="20"/>
        <v>0.8</v>
      </c>
      <c r="C61" s="7">
        <f t="shared" si="21"/>
        <v>1818229.1787158363</v>
      </c>
      <c r="D61" s="7">
        <f t="shared" si="22"/>
        <v>454557.29467895906</v>
      </c>
      <c r="E61" s="7">
        <f t="shared" si="23"/>
        <v>420665.64511483017</v>
      </c>
      <c r="F61" s="7">
        <f t="shared" si="24"/>
        <v>2693452.118509626</v>
      </c>
      <c r="G61" s="7">
        <f t="shared" si="7"/>
        <v>272734.3768073754</v>
      </c>
      <c r="H61" s="7">
        <f t="shared" si="8"/>
        <v>204550.7826055316</v>
      </c>
      <c r="I61" s="7">
        <f t="shared" si="9"/>
        <v>210332.82255741509</v>
      </c>
      <c r="J61" s="7">
        <f t="shared" si="10"/>
        <v>215476.1694807701</v>
      </c>
      <c r="K61" s="7">
        <f t="shared" si="11"/>
        <v>188541.64829567383</v>
      </c>
      <c r="L61" s="7">
        <f t="shared" si="12"/>
        <v>94270.824147836916</v>
      </c>
      <c r="M61" s="7">
        <f t="shared" si="13"/>
        <v>196007.86651412671</v>
      </c>
      <c r="N61" s="7">
        <f t="shared" si="14"/>
        <v>1381914.4904087298</v>
      </c>
      <c r="O61" s="7">
        <f t="shared" si="15"/>
        <v>1311537.6281008963</v>
      </c>
      <c r="P61" s="7">
        <f t="shared" si="25"/>
        <v>30000</v>
      </c>
      <c r="Q61" s="7">
        <f t="shared" si="16"/>
        <v>1281537.6281008963</v>
      </c>
      <c r="R61" s="7">
        <f t="shared" si="19"/>
        <v>22103208.786168091</v>
      </c>
      <c r="S61" s="7">
        <f>S42</f>
        <v>150</v>
      </c>
      <c r="T61" s="7">
        <f>T42</f>
        <v>85</v>
      </c>
      <c r="U61" s="7">
        <f t="shared" si="26"/>
        <v>163083.17813008677</v>
      </c>
      <c r="V61" s="7">
        <f t="shared" si="27"/>
        <v>196007.86651412671</v>
      </c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</row>
    <row r="62" spans="1:37" x14ac:dyDescent="0.3">
      <c r="A62" s="8">
        <v>27</v>
      </c>
      <c r="B62" s="10">
        <f t="shared" si="20"/>
        <v>0.8</v>
      </c>
      <c r="C62" s="7">
        <f t="shared" si="21"/>
        <v>1850957.3039327215</v>
      </c>
      <c r="D62" s="7">
        <f t="shared" si="22"/>
        <v>462739.32598318037</v>
      </c>
      <c r="E62" s="7">
        <f t="shared" si="23"/>
        <v>428237.62672689714</v>
      </c>
      <c r="F62" s="7">
        <f t="shared" si="24"/>
        <v>2741934.2566427994</v>
      </c>
      <c r="G62" s="7">
        <f t="shared" si="7"/>
        <v>277643.59558990819</v>
      </c>
      <c r="H62" s="7">
        <f t="shared" si="8"/>
        <v>208232.69669243117</v>
      </c>
      <c r="I62" s="7">
        <f t="shared" si="9"/>
        <v>214118.81336344857</v>
      </c>
      <c r="J62" s="7">
        <f t="shared" si="10"/>
        <v>219354.74053142394</v>
      </c>
      <c r="K62" s="7">
        <f t="shared" si="11"/>
        <v>191935.39796499597</v>
      </c>
      <c r="L62" s="7">
        <f t="shared" si="12"/>
        <v>95967.698982497983</v>
      </c>
      <c r="M62" s="7">
        <f t="shared" si="13"/>
        <v>199928.02384440924</v>
      </c>
      <c r="N62" s="7">
        <f t="shared" si="14"/>
        <v>1407180.966969115</v>
      </c>
      <c r="O62" s="7">
        <f t="shared" si="15"/>
        <v>1334753.2896736844</v>
      </c>
      <c r="P62" s="7">
        <f t="shared" si="25"/>
        <v>30000</v>
      </c>
      <c r="Q62" s="7">
        <f t="shared" si="16"/>
        <v>1304753.2896736844</v>
      </c>
      <c r="R62" s="7">
        <f t="shared" si="19"/>
        <v>23407962.075841777</v>
      </c>
      <c r="S62" s="7">
        <f>S42</f>
        <v>150</v>
      </c>
      <c r="T62" s="7">
        <f>T42</f>
        <v>85</v>
      </c>
      <c r="U62" s="7">
        <f t="shared" si="26"/>
        <v>166018.67533642834</v>
      </c>
      <c r="V62" s="7">
        <f t="shared" si="27"/>
        <v>199928.02384440924</v>
      </c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</row>
    <row r="63" spans="1:37" x14ac:dyDescent="0.3">
      <c r="A63" s="8">
        <v>28</v>
      </c>
      <c r="B63" s="10">
        <f t="shared" si="20"/>
        <v>0.8</v>
      </c>
      <c r="C63" s="7">
        <f t="shared" si="21"/>
        <v>1884274.5354035103</v>
      </c>
      <c r="D63" s="7">
        <f t="shared" si="22"/>
        <v>471068.63385087758</v>
      </c>
      <c r="E63" s="7">
        <f t="shared" si="23"/>
        <v>435945.9040079813</v>
      </c>
      <c r="F63" s="7">
        <f t="shared" si="24"/>
        <v>2791289.0732623697</v>
      </c>
      <c r="G63" s="7">
        <f t="shared" si="7"/>
        <v>282641.18031052651</v>
      </c>
      <c r="H63" s="7">
        <f t="shared" si="8"/>
        <v>211980.88523289491</v>
      </c>
      <c r="I63" s="7">
        <f t="shared" si="9"/>
        <v>217972.95200399065</v>
      </c>
      <c r="J63" s="7">
        <f t="shared" si="10"/>
        <v>223303.12586098959</v>
      </c>
      <c r="K63" s="7">
        <f t="shared" si="11"/>
        <v>195390.23512836589</v>
      </c>
      <c r="L63" s="7">
        <f t="shared" si="12"/>
        <v>97695.117564182947</v>
      </c>
      <c r="M63" s="7">
        <f t="shared" si="13"/>
        <v>203926.58432129741</v>
      </c>
      <c r="N63" s="7">
        <f t="shared" si="14"/>
        <v>1432910.080422248</v>
      </c>
      <c r="O63" s="7">
        <f t="shared" si="15"/>
        <v>1358378.9928401217</v>
      </c>
      <c r="P63" s="7">
        <f t="shared" si="25"/>
        <v>30000</v>
      </c>
      <c r="Q63" s="7">
        <f t="shared" si="16"/>
        <v>1328378.9928401217</v>
      </c>
      <c r="R63" s="7">
        <f t="shared" si="19"/>
        <v>24736341.068681899</v>
      </c>
      <c r="S63" s="7">
        <f>S42</f>
        <v>150</v>
      </c>
      <c r="T63" s="7">
        <f>T42</f>
        <v>85</v>
      </c>
      <c r="U63" s="7">
        <f t="shared" si="26"/>
        <v>169007.01149248405</v>
      </c>
      <c r="V63" s="7">
        <f t="shared" si="27"/>
        <v>203926.58432129741</v>
      </c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</row>
    <row r="64" spans="1:37" x14ac:dyDescent="0.3">
      <c r="A64" s="8">
        <v>29</v>
      </c>
      <c r="B64" s="10">
        <f t="shared" si="20"/>
        <v>0.8</v>
      </c>
      <c r="C64" s="7">
        <f t="shared" si="21"/>
        <v>1918191.4770407735</v>
      </c>
      <c r="D64" s="7">
        <f t="shared" si="22"/>
        <v>479547.86926019337</v>
      </c>
      <c r="E64" s="7">
        <f t="shared" si="23"/>
        <v>443792.93028012494</v>
      </c>
      <c r="F64" s="7">
        <f t="shared" si="24"/>
        <v>2841532.2765810923</v>
      </c>
      <c r="G64" s="7">
        <f t="shared" si="7"/>
        <v>287728.72155611601</v>
      </c>
      <c r="H64" s="7">
        <f t="shared" si="8"/>
        <v>215796.54116708701</v>
      </c>
      <c r="I64" s="7">
        <f t="shared" si="9"/>
        <v>221896.46514006247</v>
      </c>
      <c r="J64" s="7">
        <f t="shared" si="10"/>
        <v>227322.5821264874</v>
      </c>
      <c r="K64" s="7">
        <f t="shared" si="11"/>
        <v>198907.25936067649</v>
      </c>
      <c r="L64" s="7">
        <f t="shared" si="12"/>
        <v>99453.629680338243</v>
      </c>
      <c r="M64" s="7">
        <f t="shared" si="13"/>
        <v>208005.11600772338</v>
      </c>
      <c r="N64" s="7">
        <f t="shared" si="14"/>
        <v>1459110.315038491</v>
      </c>
      <c r="O64" s="7">
        <f t="shared" si="15"/>
        <v>1382421.9615426012</v>
      </c>
      <c r="P64" s="7">
        <f t="shared" si="25"/>
        <v>30000</v>
      </c>
      <c r="Q64" s="7">
        <f t="shared" si="16"/>
        <v>1352421.9615426012</v>
      </c>
      <c r="R64" s="7">
        <f t="shared" si="19"/>
        <v>26088763.030224502</v>
      </c>
      <c r="S64" s="7">
        <f>S42</f>
        <v>150</v>
      </c>
      <c r="T64" s="7">
        <f>T42</f>
        <v>85</v>
      </c>
      <c r="U64" s="7">
        <f t="shared" si="26"/>
        <v>172049.13769934876</v>
      </c>
      <c r="V64" s="7">
        <f t="shared" si="27"/>
        <v>208005.11600772338</v>
      </c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</row>
    <row r="65" spans="1:37" x14ac:dyDescent="0.3">
      <c r="A65" s="8">
        <v>30</v>
      </c>
      <c r="B65" s="10">
        <f t="shared" si="20"/>
        <v>0.8</v>
      </c>
      <c r="C65" s="7">
        <f t="shared" si="21"/>
        <v>1952718.9236275074</v>
      </c>
      <c r="D65" s="7">
        <f t="shared" si="22"/>
        <v>488179.73090687685</v>
      </c>
      <c r="E65" s="7">
        <f t="shared" si="23"/>
        <v>451781.20302516717</v>
      </c>
      <c r="F65" s="7">
        <f t="shared" si="24"/>
        <v>2892679.857559552</v>
      </c>
      <c r="G65" s="7">
        <f t="shared" si="7"/>
        <v>292907.83854412608</v>
      </c>
      <c r="H65" s="7">
        <f t="shared" si="8"/>
        <v>219680.8789080946</v>
      </c>
      <c r="I65" s="7">
        <f t="shared" si="9"/>
        <v>225890.60151258358</v>
      </c>
      <c r="J65" s="7">
        <f t="shared" si="10"/>
        <v>231414.38860476416</v>
      </c>
      <c r="K65" s="7">
        <f t="shared" si="11"/>
        <v>202487.59002916867</v>
      </c>
      <c r="L65" s="7">
        <f t="shared" si="12"/>
        <v>101243.79501458434</v>
      </c>
      <c r="M65" s="7">
        <f t="shared" si="13"/>
        <v>212165.21832787784</v>
      </c>
      <c r="N65" s="7">
        <f t="shared" si="14"/>
        <v>1485790.3109411993</v>
      </c>
      <c r="O65" s="7">
        <f t="shared" si="15"/>
        <v>1406889.5466183526</v>
      </c>
      <c r="P65" s="7">
        <f t="shared" si="25"/>
        <v>220000</v>
      </c>
      <c r="Q65" s="7">
        <f t="shared" si="16"/>
        <v>1186889.5466183526</v>
      </c>
      <c r="R65" s="7">
        <f t="shared" si="19"/>
        <v>27275652.576842856</v>
      </c>
      <c r="S65" s="7">
        <f>S42</f>
        <v>150</v>
      </c>
      <c r="T65" s="7">
        <f>T42</f>
        <v>85</v>
      </c>
      <c r="U65" s="7">
        <f t="shared" si="26"/>
        <v>175146.02217793703</v>
      </c>
      <c r="V65" s="7">
        <f t="shared" si="27"/>
        <v>212165.21832787784</v>
      </c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</row>
    <row r="66" spans="1:37" x14ac:dyDescent="0.3">
      <c r="A66" s="8">
        <v>31</v>
      </c>
      <c r="B66" s="10">
        <f t="shared" si="20"/>
        <v>0.8</v>
      </c>
      <c r="C66" s="7">
        <f t="shared" si="21"/>
        <v>1987867.8642528027</v>
      </c>
      <c r="D66" s="7">
        <f t="shared" si="22"/>
        <v>496966.96606320067</v>
      </c>
      <c r="E66" s="7">
        <f t="shared" si="23"/>
        <v>459913.26467962016</v>
      </c>
      <c r="F66" s="7">
        <f t="shared" si="24"/>
        <v>2944748.0949956239</v>
      </c>
      <c r="G66" s="7">
        <f t="shared" si="7"/>
        <v>298180.1796379204</v>
      </c>
      <c r="H66" s="7">
        <f t="shared" si="8"/>
        <v>223635.13472844032</v>
      </c>
      <c r="I66" s="7">
        <f t="shared" si="9"/>
        <v>229956.63233981008</v>
      </c>
      <c r="J66" s="7">
        <f t="shared" si="10"/>
        <v>235579.84759964992</v>
      </c>
      <c r="K66" s="7">
        <f t="shared" si="11"/>
        <v>206132.36664969369</v>
      </c>
      <c r="L66" s="7">
        <f t="shared" si="12"/>
        <v>103066.18332484685</v>
      </c>
      <c r="M66" s="7">
        <f t="shared" si="13"/>
        <v>216408.52269443541</v>
      </c>
      <c r="N66" s="7">
        <f t="shared" si="14"/>
        <v>1512958.8669747966</v>
      </c>
      <c r="O66" s="7">
        <f t="shared" si="15"/>
        <v>1431789.2280208273</v>
      </c>
      <c r="P66" s="7">
        <f t="shared" si="25"/>
        <v>30000</v>
      </c>
      <c r="Q66" s="7">
        <f t="shared" si="16"/>
        <v>1401789.2280208273</v>
      </c>
      <c r="R66" s="7">
        <f t="shared" si="19"/>
        <v>28677441.804863684</v>
      </c>
      <c r="S66" s="7">
        <f>S42</f>
        <v>150</v>
      </c>
      <c r="T66" s="7">
        <f>T42</f>
        <v>85</v>
      </c>
      <c r="U66" s="7">
        <f t="shared" si="26"/>
        <v>178298.6505771399</v>
      </c>
      <c r="V66" s="7">
        <f t="shared" si="27"/>
        <v>216408.52269443541</v>
      </c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</row>
    <row r="67" spans="1:37" x14ac:dyDescent="0.3">
      <c r="A67" s="8">
        <v>32</v>
      </c>
      <c r="B67" s="10">
        <f t="shared" si="20"/>
        <v>0.8</v>
      </c>
      <c r="C67" s="7">
        <f t="shared" si="21"/>
        <v>2023649.4858093532</v>
      </c>
      <c r="D67" s="7">
        <f t="shared" si="22"/>
        <v>505912.3714523383</v>
      </c>
      <c r="E67" s="7">
        <f t="shared" si="23"/>
        <v>468191.70344385336</v>
      </c>
      <c r="F67" s="7">
        <f t="shared" si="24"/>
        <v>2997753.5607055454</v>
      </c>
      <c r="G67" s="7">
        <f t="shared" si="7"/>
        <v>303547.42287140299</v>
      </c>
      <c r="H67" s="7">
        <f t="shared" si="8"/>
        <v>227660.56715355223</v>
      </c>
      <c r="I67" s="7">
        <f t="shared" si="9"/>
        <v>234095.85172192668</v>
      </c>
      <c r="J67" s="7">
        <f t="shared" si="10"/>
        <v>239820.28485644364</v>
      </c>
      <c r="K67" s="7">
        <f t="shared" si="11"/>
        <v>209842.7492493882</v>
      </c>
      <c r="L67" s="7">
        <f t="shared" si="12"/>
        <v>104921.3746246941</v>
      </c>
      <c r="M67" s="7">
        <f t="shared" si="13"/>
        <v>220736.69314832412</v>
      </c>
      <c r="N67" s="7">
        <f t="shared" si="14"/>
        <v>1540624.9436257319</v>
      </c>
      <c r="O67" s="7">
        <f t="shared" si="15"/>
        <v>1457128.6170798135</v>
      </c>
      <c r="P67" s="7">
        <f t="shared" si="25"/>
        <v>30000</v>
      </c>
      <c r="Q67" s="7">
        <f t="shared" si="16"/>
        <v>1427128.6170798135</v>
      </c>
      <c r="R67" s="7">
        <f t="shared" si="19"/>
        <v>30104570.421943497</v>
      </c>
      <c r="S67" s="7">
        <f>S42</f>
        <v>150</v>
      </c>
      <c r="T67" s="7">
        <f>T42</f>
        <v>85</v>
      </c>
      <c r="U67" s="7">
        <f t="shared" si="26"/>
        <v>181508.02628752842</v>
      </c>
      <c r="V67" s="7">
        <f t="shared" si="27"/>
        <v>220736.69314832412</v>
      </c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</row>
    <row r="68" spans="1:37" x14ac:dyDescent="0.3">
      <c r="A68" s="8">
        <v>33</v>
      </c>
      <c r="B68" s="10">
        <f t="shared" si="20"/>
        <v>0.8</v>
      </c>
      <c r="C68" s="7">
        <f t="shared" si="21"/>
        <v>2060075.1765539215</v>
      </c>
      <c r="D68" s="7">
        <f t="shared" si="22"/>
        <v>515018.79413848039</v>
      </c>
      <c r="E68" s="7">
        <f t="shared" si="23"/>
        <v>476619.15410584275</v>
      </c>
      <c r="F68" s="7">
        <f t="shared" si="24"/>
        <v>3051713.1247982453</v>
      </c>
      <c r="G68" s="7">
        <f t="shared" si="7"/>
        <v>309011.27648308821</v>
      </c>
      <c r="H68" s="7">
        <f t="shared" si="8"/>
        <v>231758.45736231617</v>
      </c>
      <c r="I68" s="7">
        <f t="shared" si="9"/>
        <v>238309.57705292138</v>
      </c>
      <c r="J68" s="7">
        <f t="shared" si="10"/>
        <v>244137.04998385962</v>
      </c>
      <c r="K68" s="7">
        <f t="shared" si="11"/>
        <v>213619.91873587717</v>
      </c>
      <c r="L68" s="7">
        <f t="shared" si="12"/>
        <v>106809.95936793859</v>
      </c>
      <c r="M68" s="7">
        <f t="shared" si="13"/>
        <v>225151.42701129059</v>
      </c>
      <c r="N68" s="7">
        <f t="shared" si="14"/>
        <v>1568797.6659972917</v>
      </c>
      <c r="O68" s="7">
        <f t="shared" si="15"/>
        <v>1482915.4588009536</v>
      </c>
      <c r="P68" s="7">
        <f t="shared" si="25"/>
        <v>30000</v>
      </c>
      <c r="Q68" s="7">
        <f t="shared" si="16"/>
        <v>1452915.4588009536</v>
      </c>
      <c r="R68" s="7">
        <f t="shared" si="19"/>
        <v>31557485.88074445</v>
      </c>
      <c r="S68" s="7">
        <f>S42</f>
        <v>150</v>
      </c>
      <c r="T68" s="7">
        <f>T42</f>
        <v>85</v>
      </c>
      <c r="U68" s="7">
        <f t="shared" si="26"/>
        <v>184775.17076070394</v>
      </c>
      <c r="V68" s="7">
        <f t="shared" si="27"/>
        <v>225151.42701129059</v>
      </c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</row>
    <row r="69" spans="1:37" x14ac:dyDescent="0.3">
      <c r="A69" s="8">
        <v>34</v>
      </c>
      <c r="B69" s="10">
        <f t="shared" si="20"/>
        <v>0.8</v>
      </c>
      <c r="C69" s="7">
        <f t="shared" si="21"/>
        <v>2097156.529731892</v>
      </c>
      <c r="D69" s="7">
        <f t="shared" si="22"/>
        <v>524289.13243297301</v>
      </c>
      <c r="E69" s="7">
        <f t="shared" si="23"/>
        <v>485198.29887974792</v>
      </c>
      <c r="F69" s="7">
        <f t="shared" si="24"/>
        <v>3106643.9610446137</v>
      </c>
      <c r="G69" s="7">
        <f t="shared" si="7"/>
        <v>314573.47945978382</v>
      </c>
      <c r="H69" s="7">
        <f t="shared" si="8"/>
        <v>235930.10959483785</v>
      </c>
      <c r="I69" s="7">
        <f t="shared" si="9"/>
        <v>242599.14943987396</v>
      </c>
      <c r="J69" s="7">
        <f t="shared" si="10"/>
        <v>248531.5168835691</v>
      </c>
      <c r="K69" s="7">
        <f t="shared" si="11"/>
        <v>217465.077273123</v>
      </c>
      <c r="L69" s="7">
        <f t="shared" si="12"/>
        <v>108732.5386365615</v>
      </c>
      <c r="M69" s="7">
        <f t="shared" si="13"/>
        <v>229654.45555151641</v>
      </c>
      <c r="N69" s="7">
        <f t="shared" si="14"/>
        <v>1597486.3268392656</v>
      </c>
      <c r="O69" s="7">
        <f t="shared" si="15"/>
        <v>1509157.6342053481</v>
      </c>
      <c r="P69" s="7">
        <f t="shared" si="25"/>
        <v>30000</v>
      </c>
      <c r="Q69" s="7">
        <f t="shared" si="16"/>
        <v>1479157.6342053481</v>
      </c>
      <c r="R69" s="7">
        <f t="shared" si="19"/>
        <v>33036643.514949799</v>
      </c>
      <c r="S69" s="7">
        <f>S42</f>
        <v>150</v>
      </c>
      <c r="T69" s="7">
        <f>T42</f>
        <v>85</v>
      </c>
      <c r="U69" s="7">
        <f t="shared" si="26"/>
        <v>188101.12383439663</v>
      </c>
      <c r="V69" s="7">
        <f t="shared" si="27"/>
        <v>229654.45555151641</v>
      </c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</row>
    <row r="70" spans="1:37" x14ac:dyDescent="0.3">
      <c r="A70" s="8">
        <v>35</v>
      </c>
      <c r="B70" s="10">
        <f t="shared" si="20"/>
        <v>0.8</v>
      </c>
      <c r="C70" s="7">
        <f t="shared" si="21"/>
        <v>2134905.3472670661</v>
      </c>
      <c r="D70" s="7">
        <f t="shared" si="22"/>
        <v>533726.33681676653</v>
      </c>
      <c r="E70" s="7">
        <f t="shared" si="23"/>
        <v>493931.86825958343</v>
      </c>
      <c r="F70" s="7">
        <f t="shared" si="24"/>
        <v>3162563.552343417</v>
      </c>
      <c r="G70" s="7">
        <f t="shared" si="7"/>
        <v>320235.80209005991</v>
      </c>
      <c r="H70" s="7">
        <f t="shared" si="8"/>
        <v>240176.85156754495</v>
      </c>
      <c r="I70" s="7">
        <f t="shared" si="9"/>
        <v>246965.93412979171</v>
      </c>
      <c r="J70" s="7">
        <f t="shared" si="10"/>
        <v>253005.08418747337</v>
      </c>
      <c r="K70" s="7">
        <f t="shared" si="11"/>
        <v>221379.4486640392</v>
      </c>
      <c r="L70" s="7">
        <f t="shared" si="12"/>
        <v>110689.7243320196</v>
      </c>
      <c r="M70" s="7">
        <f t="shared" si="13"/>
        <v>234247.54466254674</v>
      </c>
      <c r="N70" s="7">
        <f t="shared" si="14"/>
        <v>1626700.3896334756</v>
      </c>
      <c r="O70" s="7">
        <f t="shared" si="15"/>
        <v>1535863.1627099414</v>
      </c>
      <c r="P70" s="7">
        <f t="shared" si="25"/>
        <v>100000</v>
      </c>
      <c r="Q70" s="7">
        <f t="shared" si="16"/>
        <v>1435863.1627099414</v>
      </c>
      <c r="R70" s="7">
        <f t="shared" si="19"/>
        <v>34472506.677659743</v>
      </c>
      <c r="S70" s="7">
        <f>S42</f>
        <v>150</v>
      </c>
      <c r="T70" s="7">
        <f>T42</f>
        <v>85</v>
      </c>
      <c r="U70" s="7">
        <f t="shared" si="26"/>
        <v>191486.94406341578</v>
      </c>
      <c r="V70" s="7">
        <f t="shared" si="27"/>
        <v>234247.54466254674</v>
      </c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</row>
    <row r="71" spans="1:37" x14ac:dyDescent="0.3"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</row>
    <row r="72" spans="1:37" x14ac:dyDescent="0.3"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</row>
    <row r="73" spans="1:37" x14ac:dyDescent="0.3"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</row>
    <row r="74" spans="1:37" x14ac:dyDescent="0.3"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</row>
    <row r="75" spans="1:37" x14ac:dyDescent="0.3">
      <c r="A75" s="2" t="s">
        <v>76</v>
      </c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</row>
    <row r="76" spans="1:37" x14ac:dyDescent="0.3">
      <c r="A76" s="11" t="s">
        <v>77</v>
      </c>
      <c r="B76" s="7">
        <f>-$B$19</f>
        <v>-3112750</v>
      </c>
      <c r="C76" s="7">
        <f>Q36</f>
        <v>560972.22499999998</v>
      </c>
      <c r="D76" s="7">
        <f>Q37</f>
        <v>630920.83750000002</v>
      </c>
      <c r="E76" s="7">
        <f>Q38</f>
        <v>672730.26500000001</v>
      </c>
      <c r="F76" s="7">
        <f>Q39</f>
        <v>763297.23100000003</v>
      </c>
      <c r="G76" s="7">
        <f>Q40</f>
        <v>810459.87874999992</v>
      </c>
      <c r="H76" s="7">
        <f>Q41</f>
        <v>813432.95624999993</v>
      </c>
      <c r="I76" s="7">
        <f>Q42</f>
        <v>864461.09999999939</v>
      </c>
      <c r="J76" s="7">
        <f>Q43</f>
        <v>881442.86349999928</v>
      </c>
      <c r="K76" s="7">
        <f>Q44</f>
        <v>903967.29245949932</v>
      </c>
      <c r="L76" s="7">
        <f>Q45</f>
        <v>737047.7677920307</v>
      </c>
      <c r="M76" s="7">
        <f>Q46</f>
        <v>950697.99991944339</v>
      </c>
      <c r="N76" s="7">
        <f>Q47</f>
        <v>974932.03687422234</v>
      </c>
      <c r="O76" s="7">
        <f>Q48</f>
        <v>999764.27260070387</v>
      </c>
      <c r="P76" s="7">
        <f>Q49</f>
        <v>1025209.4554600725</v>
      </c>
      <c r="Q76" s="7">
        <f>Q50</f>
        <v>981282.6969441229</v>
      </c>
      <c r="R76" s="7">
        <f>Q51</f>
        <v>1070430.5017242993</v>
      </c>
      <c r="S76" s="7">
        <f>Q52</f>
        <v>1089916.6613152227</v>
      </c>
      <c r="T76" s="7">
        <f>Q53</f>
        <v>1109747.13998998</v>
      </c>
      <c r="U76" s="7">
        <f>Q54</f>
        <v>1129928.0068563053</v>
      </c>
      <c r="V76" s="7">
        <f>Q55</f>
        <v>960465.43769315444</v>
      </c>
      <c r="W76" s="7">
        <f>Q56</f>
        <v>1171365.7168193352</v>
      </c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7">
        <f>Q70</f>
        <v>1435863.1627099414</v>
      </c>
    </row>
    <row r="77" spans="1:37" x14ac:dyDescent="0.3"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</row>
    <row r="78" spans="1:37" x14ac:dyDescent="0.3">
      <c r="A78" s="11" t="s">
        <v>78</v>
      </c>
      <c r="B78" s="7">
        <f>B76</f>
        <v>-3112750</v>
      </c>
      <c r="C78" s="7">
        <f t="shared" ref="C78:W78" si="28">B78+C76</f>
        <v>-2551777.7749999999</v>
      </c>
      <c r="D78" s="7">
        <f t="shared" si="28"/>
        <v>-1920856.9375</v>
      </c>
      <c r="E78" s="7">
        <f t="shared" si="28"/>
        <v>-1248126.6724999999</v>
      </c>
      <c r="F78" s="7">
        <f t="shared" si="28"/>
        <v>-484829.44149999984</v>
      </c>
      <c r="G78" s="7">
        <f t="shared" si="28"/>
        <v>325630.43725000008</v>
      </c>
      <c r="H78" s="7">
        <f t="shared" si="28"/>
        <v>1139063.3935</v>
      </c>
      <c r="I78" s="7">
        <f t="shared" si="28"/>
        <v>2003524.4934999994</v>
      </c>
      <c r="J78" s="7">
        <f t="shared" si="28"/>
        <v>2884967.3569999989</v>
      </c>
      <c r="K78" s="7">
        <f t="shared" si="28"/>
        <v>3788934.649459498</v>
      </c>
      <c r="L78" s="7">
        <f t="shared" si="28"/>
        <v>4525982.4172515292</v>
      </c>
      <c r="M78" s="7">
        <f t="shared" si="28"/>
        <v>5476680.4171709726</v>
      </c>
      <c r="N78" s="7">
        <f t="shared" si="28"/>
        <v>6451612.4540451951</v>
      </c>
      <c r="O78" s="7">
        <f t="shared" si="28"/>
        <v>7451376.726645899</v>
      </c>
      <c r="P78" s="7">
        <f t="shared" si="28"/>
        <v>8476586.1821059715</v>
      </c>
      <c r="Q78" s="7">
        <f t="shared" si="28"/>
        <v>9457868.8790500946</v>
      </c>
      <c r="R78" s="7">
        <f t="shared" si="28"/>
        <v>10528299.380774394</v>
      </c>
      <c r="S78" s="7">
        <f t="shared" si="28"/>
        <v>11618216.042089617</v>
      </c>
      <c r="T78" s="7">
        <f t="shared" si="28"/>
        <v>12727963.182079596</v>
      </c>
      <c r="U78" s="7">
        <f t="shared" si="28"/>
        <v>13857891.188935902</v>
      </c>
      <c r="V78" s="7">
        <f t="shared" si="28"/>
        <v>14818356.626629056</v>
      </c>
      <c r="W78" s="7">
        <f t="shared" si="28"/>
        <v>15989722.343448391</v>
      </c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7">
        <f>AJ78+AK76</f>
        <v>1435863.1627099414</v>
      </c>
    </row>
    <row r="79" spans="1:37" x14ac:dyDescent="0.3"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</row>
  </sheetData>
  <mergeCells count="3">
    <mergeCell ref="Y49:AK52"/>
    <mergeCell ref="X3:AK3"/>
    <mergeCell ref="Y45:AK4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K70"/>
  <sheetViews>
    <sheetView zoomScale="75" zoomScaleNormal="75" workbookViewId="0"/>
  </sheetViews>
  <sheetFormatPr defaultRowHeight="14.4" x14ac:dyDescent="0.3"/>
  <cols>
    <col min="1" max="1" width="36.6640625" customWidth="1"/>
    <col min="2" max="29" width="15.6640625" customWidth="1"/>
    <col min="30" max="36" width="17" customWidth="1"/>
    <col min="37" max="37" width="15.6640625" customWidth="1"/>
  </cols>
  <sheetData>
    <row r="1" spans="1:3" ht="21" x14ac:dyDescent="0.4">
      <c r="A1" s="1" t="s">
        <v>99</v>
      </c>
    </row>
    <row r="3" spans="1:3" x14ac:dyDescent="0.3">
      <c r="A3" s="2" t="s">
        <v>0</v>
      </c>
      <c r="B3" s="2" t="s">
        <v>1</v>
      </c>
      <c r="C3" s="2" t="s">
        <v>2</v>
      </c>
    </row>
    <row r="4" spans="1:3" x14ac:dyDescent="0.3">
      <c r="A4" s="3" t="s">
        <v>4</v>
      </c>
      <c r="B4" s="4">
        <v>2700000</v>
      </c>
      <c r="C4" s="5" t="s">
        <v>5</v>
      </c>
    </row>
    <row r="5" spans="1:3" x14ac:dyDescent="0.3">
      <c r="A5" s="3" t="s">
        <v>6</v>
      </c>
      <c r="B5" s="4">
        <v>150000</v>
      </c>
      <c r="C5" s="5" t="s">
        <v>5</v>
      </c>
    </row>
    <row r="6" spans="1:3" x14ac:dyDescent="0.3">
      <c r="A6" s="3" t="s">
        <v>13</v>
      </c>
      <c r="B6" s="6"/>
      <c r="C6" s="5" t="s">
        <v>14</v>
      </c>
    </row>
    <row r="7" spans="1:3" x14ac:dyDescent="0.3">
      <c r="A7" s="3" t="s">
        <v>6</v>
      </c>
      <c r="B7" s="7">
        <f>B5</f>
        <v>150000</v>
      </c>
      <c r="C7" s="5" t="s">
        <v>15</v>
      </c>
    </row>
    <row r="8" spans="1:3" x14ac:dyDescent="0.3">
      <c r="A8" s="3" t="s">
        <v>16</v>
      </c>
      <c r="B8" s="4">
        <v>40000</v>
      </c>
      <c r="C8" s="5" t="s">
        <v>5</v>
      </c>
    </row>
    <row r="9" spans="1:3" x14ac:dyDescent="0.3">
      <c r="A9" s="3" t="s">
        <v>17</v>
      </c>
      <c r="B9" s="6">
        <v>25</v>
      </c>
      <c r="C9" s="5" t="s">
        <v>5</v>
      </c>
    </row>
    <row r="10" spans="1:3" x14ac:dyDescent="0.3">
      <c r="A10" s="3" t="s">
        <v>18</v>
      </c>
      <c r="B10" s="6">
        <v>10</v>
      </c>
      <c r="C10" s="5" t="s">
        <v>5</v>
      </c>
    </row>
    <row r="11" spans="1:3" x14ac:dyDescent="0.3">
      <c r="A11" s="3" t="s">
        <v>19</v>
      </c>
      <c r="B11" s="8">
        <f>B9+B10</f>
        <v>35</v>
      </c>
      <c r="C11" s="5" t="s">
        <v>15</v>
      </c>
    </row>
    <row r="12" spans="1:3" x14ac:dyDescent="0.3">
      <c r="A12" s="3" t="s">
        <v>20</v>
      </c>
      <c r="B12" s="6">
        <v>18</v>
      </c>
      <c r="C12" s="5" t="s">
        <v>5</v>
      </c>
    </row>
    <row r="13" spans="1:3" x14ac:dyDescent="0.3">
      <c r="A13" s="3" t="s">
        <v>21</v>
      </c>
      <c r="B13" s="4">
        <v>18000000</v>
      </c>
      <c r="C13" s="5" t="s">
        <v>5</v>
      </c>
    </row>
    <row r="14" spans="1:3" x14ac:dyDescent="0.3">
      <c r="A14" s="3" t="s">
        <v>22</v>
      </c>
      <c r="B14" s="6">
        <v>16000</v>
      </c>
      <c r="C14" s="5" t="s">
        <v>5</v>
      </c>
    </row>
    <row r="15" spans="1:3" x14ac:dyDescent="0.3">
      <c r="A15" s="3" t="s">
        <v>23</v>
      </c>
      <c r="B15" s="8">
        <f>B10*B12*B13</f>
        <v>3240000000</v>
      </c>
      <c r="C15" s="5" t="s">
        <v>15</v>
      </c>
    </row>
    <row r="16" spans="1:3" x14ac:dyDescent="0.3">
      <c r="A16" s="3" t="s">
        <v>29</v>
      </c>
      <c r="B16" s="9">
        <v>0.1</v>
      </c>
      <c r="C16" s="5" t="s">
        <v>5</v>
      </c>
    </row>
    <row r="17" spans="1:36" x14ac:dyDescent="0.3">
      <c r="A17" s="3" t="s">
        <v>30</v>
      </c>
      <c r="B17" s="8">
        <f>B15*B16</f>
        <v>324000000</v>
      </c>
      <c r="C17" s="5" t="s">
        <v>15</v>
      </c>
    </row>
    <row r="18" spans="1:36" x14ac:dyDescent="0.3">
      <c r="A18" s="3" t="s">
        <v>31</v>
      </c>
      <c r="B18" s="7">
        <f>(B15+B17)/B14</f>
        <v>222750</v>
      </c>
      <c r="C18" s="5" t="s">
        <v>15</v>
      </c>
    </row>
    <row r="19" spans="1:36" x14ac:dyDescent="0.3">
      <c r="A19" s="3" t="s">
        <v>32</v>
      </c>
      <c r="B19" s="7">
        <f>B4+B7+B8+B18</f>
        <v>3112750</v>
      </c>
      <c r="C19" s="5" t="s">
        <v>15</v>
      </c>
    </row>
    <row r="20" spans="1:36" x14ac:dyDescent="0.3">
      <c r="A20" s="3" t="s">
        <v>79</v>
      </c>
      <c r="B20" s="7">
        <f>800*3+600*1+400*3</f>
        <v>4200</v>
      </c>
      <c r="C20" s="5" t="s">
        <v>15</v>
      </c>
    </row>
    <row r="21" spans="1:36" x14ac:dyDescent="0.3">
      <c r="A21" s="3" t="s">
        <v>80</v>
      </c>
      <c r="B21" s="9">
        <v>0.2</v>
      </c>
      <c r="C21" s="5" t="s">
        <v>5</v>
      </c>
    </row>
    <row r="22" spans="1:36" x14ac:dyDescent="0.3">
      <c r="A22" s="3" t="s">
        <v>81</v>
      </c>
      <c r="B22" s="7">
        <f>B20*(1-B21)</f>
        <v>3360</v>
      </c>
      <c r="C22" s="5" t="s">
        <v>15</v>
      </c>
    </row>
    <row r="23" spans="1:36" x14ac:dyDescent="0.3">
      <c r="A23" s="3" t="s">
        <v>46</v>
      </c>
      <c r="B23" s="10">
        <f>IRR(B68:AK68)</f>
        <v>0.16957017311917255</v>
      </c>
      <c r="C23" s="5" t="s">
        <v>15</v>
      </c>
    </row>
    <row r="24" spans="1:36" x14ac:dyDescent="0.3">
      <c r="A24" s="3" t="s">
        <v>47</v>
      </c>
      <c r="B24" s="8" cm="1">
        <f t="array" ref="B24">MATCH(TRUE,B70:AK70&gt;0,0)-1</f>
        <v>7</v>
      </c>
      <c r="C24" s="5" t="s">
        <v>15</v>
      </c>
    </row>
    <row r="27" spans="1:36" ht="28.8" x14ac:dyDescent="0.3">
      <c r="A27" s="11" t="s">
        <v>7</v>
      </c>
      <c r="B27" s="11" t="s">
        <v>82</v>
      </c>
      <c r="C27" s="11" t="s">
        <v>83</v>
      </c>
      <c r="D27" s="11" t="s">
        <v>84</v>
      </c>
      <c r="E27" s="11" t="s">
        <v>50</v>
      </c>
      <c r="F27" s="11" t="s">
        <v>85</v>
      </c>
      <c r="G27" s="11" t="s">
        <v>52</v>
      </c>
      <c r="H27" s="11" t="s">
        <v>86</v>
      </c>
      <c r="I27" s="11" t="s">
        <v>54</v>
      </c>
      <c r="J27" s="11" t="s">
        <v>87</v>
      </c>
      <c r="K27" s="11" t="s">
        <v>88</v>
      </c>
      <c r="L27" s="11" t="s">
        <v>89</v>
      </c>
      <c r="M27" s="11" t="s">
        <v>56</v>
      </c>
      <c r="N27" s="11" t="s">
        <v>57</v>
      </c>
      <c r="O27" s="11" t="s">
        <v>58</v>
      </c>
      <c r="P27" s="11" t="s">
        <v>90</v>
      </c>
      <c r="Q27" s="11" t="s">
        <v>60</v>
      </c>
      <c r="R27" s="11" t="s">
        <v>61</v>
      </c>
      <c r="S27" s="11" t="s">
        <v>62</v>
      </c>
      <c r="T27" s="11" t="s">
        <v>63</v>
      </c>
      <c r="U27" s="11" t="s">
        <v>64</v>
      </c>
      <c r="V27" s="11" t="s">
        <v>91</v>
      </c>
      <c r="W27" s="11" t="s">
        <v>92</v>
      </c>
      <c r="X27" s="11" t="s">
        <v>93</v>
      </c>
      <c r="Y27" s="11" t="s">
        <v>94</v>
      </c>
      <c r="Z27" s="11" t="s">
        <v>95</v>
      </c>
      <c r="AA27" s="11" t="s">
        <v>96</v>
      </c>
      <c r="AB27" s="11" t="s">
        <v>59</v>
      </c>
      <c r="AD27" s="14" t="s">
        <v>7</v>
      </c>
      <c r="AE27" s="14" t="s">
        <v>97</v>
      </c>
      <c r="AF27" s="14" t="s">
        <v>98</v>
      </c>
      <c r="AG27" s="14" t="s">
        <v>69</v>
      </c>
      <c r="AH27" s="14" t="s">
        <v>70</v>
      </c>
      <c r="AI27" s="14" t="s">
        <v>71</v>
      </c>
      <c r="AJ27" s="14" t="s">
        <v>66</v>
      </c>
    </row>
    <row r="28" spans="1:36" x14ac:dyDescent="0.3">
      <c r="A28" s="8">
        <v>1</v>
      </c>
      <c r="B28" s="4">
        <v>20</v>
      </c>
      <c r="C28" s="7">
        <f t="shared" ref="C28:C34" si="0">B28*V28*$B$22</f>
        <v>336000</v>
      </c>
      <c r="D28" s="7">
        <f t="shared" ref="D28:D34" si="1">B28*W28*X28</f>
        <v>156000</v>
      </c>
      <c r="E28" s="7">
        <f t="shared" ref="E28:E34" si="2">B28*W28*V28*Y28</f>
        <v>114000</v>
      </c>
      <c r="F28" s="7">
        <f t="shared" ref="F28:F34" si="3">B28*W28*Z28+AA28</f>
        <v>102200</v>
      </c>
      <c r="G28" s="7">
        <f t="shared" ref="G28:G34" si="4">SUM(C28:F28)</f>
        <v>708200</v>
      </c>
      <c r="H28" s="7">
        <f t="shared" ref="H28:H62" si="5">8%*G28</f>
        <v>56656</v>
      </c>
      <c r="I28" s="7">
        <f t="shared" ref="I28:I62" si="6">45%*E28</f>
        <v>51300</v>
      </c>
      <c r="J28" s="7">
        <f t="shared" ref="J28:J62" si="7">35%*D28</f>
        <v>54600</v>
      </c>
      <c r="K28" s="7">
        <f t="shared" ref="K28:K62" si="8">42%*F28</f>
        <v>42924</v>
      </c>
      <c r="L28" s="7">
        <f t="shared" ref="L28:L62" si="9">8%*G28</f>
        <v>56656</v>
      </c>
      <c r="M28" s="7">
        <f t="shared" ref="M28:M62" si="10">10%*G28</f>
        <v>70820</v>
      </c>
      <c r="N28" s="7">
        <f t="shared" ref="N28:N62" si="11">6%*G28</f>
        <v>42492</v>
      </c>
      <c r="O28" s="7">
        <f t="shared" ref="O28:O62" si="12">3.5%*G28</f>
        <v>24787.000000000004</v>
      </c>
      <c r="P28" s="18">
        <f t="shared" ref="P28:P62" si="13">AB28</f>
        <v>135000</v>
      </c>
      <c r="Q28" s="7">
        <f t="shared" ref="Q28:Q62" si="14">SUM(H28:P28)</f>
        <v>535235</v>
      </c>
      <c r="R28" s="7">
        <f t="shared" ref="R28:R62" si="15">G28-Q28</f>
        <v>172965</v>
      </c>
      <c r="S28" s="7">
        <f>30000</f>
        <v>30000</v>
      </c>
      <c r="T28" s="7">
        <f t="shared" ref="T28:T62" si="16">R28-S28</f>
        <v>142965</v>
      </c>
      <c r="U28" s="7">
        <f>T28-$B$19</f>
        <v>-2969785</v>
      </c>
      <c r="V28" s="4">
        <v>5</v>
      </c>
      <c r="W28" s="4">
        <v>12</v>
      </c>
      <c r="X28" s="4">
        <v>650</v>
      </c>
      <c r="Y28" s="4">
        <v>95</v>
      </c>
      <c r="Z28" s="4">
        <v>280</v>
      </c>
      <c r="AA28" s="4">
        <v>35000</v>
      </c>
      <c r="AB28" s="18">
        <f t="shared" ref="AB28:AB34" si="17">AJ28</f>
        <v>135000</v>
      </c>
      <c r="AD28" s="20">
        <v>1</v>
      </c>
      <c r="AE28" s="21">
        <v>25000</v>
      </c>
      <c r="AF28" s="21">
        <v>32000</v>
      </c>
      <c r="AG28" s="21">
        <v>20000</v>
      </c>
      <c r="AH28" s="21">
        <v>19000</v>
      </c>
      <c r="AI28" s="21">
        <v>39000</v>
      </c>
      <c r="AJ28" s="18">
        <f t="shared" ref="AJ28:AJ34" si="18">SUM(AE28:AI28)</f>
        <v>135000</v>
      </c>
    </row>
    <row r="29" spans="1:36" x14ac:dyDescent="0.3">
      <c r="A29" s="8">
        <v>2</v>
      </c>
      <c r="B29" s="4">
        <v>26</v>
      </c>
      <c r="C29" s="7">
        <f t="shared" si="0"/>
        <v>436800</v>
      </c>
      <c r="D29" s="7">
        <f t="shared" si="1"/>
        <v>243360</v>
      </c>
      <c r="E29" s="7">
        <f t="shared" si="2"/>
        <v>177450</v>
      </c>
      <c r="F29" s="7">
        <f t="shared" si="3"/>
        <v>156540</v>
      </c>
      <c r="G29" s="7">
        <f t="shared" si="4"/>
        <v>1014150</v>
      </c>
      <c r="H29" s="7">
        <f t="shared" si="5"/>
        <v>81132</v>
      </c>
      <c r="I29" s="7">
        <f t="shared" si="6"/>
        <v>79852.5</v>
      </c>
      <c r="J29" s="7">
        <f t="shared" si="7"/>
        <v>85176</v>
      </c>
      <c r="K29" s="7">
        <f t="shared" si="8"/>
        <v>65746.8</v>
      </c>
      <c r="L29" s="7">
        <f t="shared" si="9"/>
        <v>81132</v>
      </c>
      <c r="M29" s="7">
        <f t="shared" si="10"/>
        <v>101415</v>
      </c>
      <c r="N29" s="7">
        <f t="shared" si="11"/>
        <v>60849</v>
      </c>
      <c r="O29" s="7">
        <f t="shared" si="12"/>
        <v>35495.25</v>
      </c>
      <c r="P29" s="18">
        <f t="shared" si="13"/>
        <v>136350</v>
      </c>
      <c r="Q29" s="7">
        <f t="shared" si="14"/>
        <v>727148.55</v>
      </c>
      <c r="R29" s="7">
        <f t="shared" si="15"/>
        <v>287001.44999999995</v>
      </c>
      <c r="S29" s="7">
        <f>30000</f>
        <v>30000</v>
      </c>
      <c r="T29" s="7">
        <f t="shared" si="16"/>
        <v>257001.44999999995</v>
      </c>
      <c r="U29" s="7">
        <f t="shared" ref="U29:U62" si="19">U28+T29</f>
        <v>-2712783.55</v>
      </c>
      <c r="V29" s="4">
        <v>5</v>
      </c>
      <c r="W29" s="4">
        <v>13</v>
      </c>
      <c r="X29" s="4">
        <v>720</v>
      </c>
      <c r="Y29" s="4">
        <v>105</v>
      </c>
      <c r="Z29" s="4">
        <v>330</v>
      </c>
      <c r="AA29" s="4">
        <v>45000</v>
      </c>
      <c r="AB29" s="18">
        <f t="shared" si="17"/>
        <v>136350</v>
      </c>
      <c r="AD29" s="20">
        <v>2</v>
      </c>
      <c r="AE29" s="21">
        <v>25250</v>
      </c>
      <c r="AF29" s="21">
        <v>32320</v>
      </c>
      <c r="AG29" s="21">
        <v>20200</v>
      </c>
      <c r="AH29" s="21">
        <v>19190</v>
      </c>
      <c r="AI29" s="21">
        <v>39390</v>
      </c>
      <c r="AJ29" s="18">
        <f t="shared" si="18"/>
        <v>136350</v>
      </c>
    </row>
    <row r="30" spans="1:36" x14ac:dyDescent="0.3">
      <c r="A30" s="8">
        <v>3</v>
      </c>
      <c r="B30" s="4">
        <v>32</v>
      </c>
      <c r="C30" s="7">
        <f t="shared" si="0"/>
        <v>537600</v>
      </c>
      <c r="D30" s="7">
        <f t="shared" si="1"/>
        <v>358400</v>
      </c>
      <c r="E30" s="7">
        <f t="shared" si="2"/>
        <v>257600</v>
      </c>
      <c r="F30" s="7">
        <f t="shared" si="3"/>
        <v>229720</v>
      </c>
      <c r="G30" s="7">
        <f t="shared" si="4"/>
        <v>1383320</v>
      </c>
      <c r="H30" s="7">
        <f t="shared" si="5"/>
        <v>110665.60000000001</v>
      </c>
      <c r="I30" s="7">
        <f t="shared" si="6"/>
        <v>115920</v>
      </c>
      <c r="J30" s="7">
        <f t="shared" si="7"/>
        <v>125439.99999999999</v>
      </c>
      <c r="K30" s="7">
        <f t="shared" si="8"/>
        <v>96482.4</v>
      </c>
      <c r="L30" s="7">
        <f t="shared" si="9"/>
        <v>110665.60000000001</v>
      </c>
      <c r="M30" s="7">
        <f t="shared" si="10"/>
        <v>138332</v>
      </c>
      <c r="N30" s="7">
        <f t="shared" si="11"/>
        <v>82999.199999999997</v>
      </c>
      <c r="O30" s="7">
        <f t="shared" si="12"/>
        <v>48416.200000000004</v>
      </c>
      <c r="P30" s="18">
        <f t="shared" si="13"/>
        <v>137713</v>
      </c>
      <c r="Q30" s="7">
        <f t="shared" si="14"/>
        <v>966633.99999999988</v>
      </c>
      <c r="R30" s="7">
        <f t="shared" si="15"/>
        <v>416686.00000000012</v>
      </c>
      <c r="S30" s="7">
        <f>60000</f>
        <v>60000</v>
      </c>
      <c r="T30" s="7">
        <f t="shared" si="16"/>
        <v>356686.00000000012</v>
      </c>
      <c r="U30" s="7">
        <f t="shared" si="19"/>
        <v>-2356097.5499999998</v>
      </c>
      <c r="V30" s="4">
        <v>5</v>
      </c>
      <c r="W30" s="4">
        <v>14</v>
      </c>
      <c r="X30" s="4">
        <v>800</v>
      </c>
      <c r="Y30" s="4">
        <v>115</v>
      </c>
      <c r="Z30" s="4">
        <v>390</v>
      </c>
      <c r="AA30" s="4">
        <v>55000</v>
      </c>
      <c r="AB30" s="18">
        <f t="shared" si="17"/>
        <v>137713</v>
      </c>
      <c r="AD30" s="20">
        <v>3</v>
      </c>
      <c r="AE30" s="21">
        <v>25502</v>
      </c>
      <c r="AF30" s="21">
        <v>32643</v>
      </c>
      <c r="AG30" s="21">
        <v>20402</v>
      </c>
      <c r="AH30" s="21">
        <v>19382</v>
      </c>
      <c r="AI30" s="21">
        <v>39784</v>
      </c>
      <c r="AJ30" s="18">
        <f t="shared" si="18"/>
        <v>137713</v>
      </c>
    </row>
    <row r="31" spans="1:36" x14ac:dyDescent="0.3">
      <c r="A31" s="8">
        <v>4</v>
      </c>
      <c r="B31" s="4">
        <v>36</v>
      </c>
      <c r="C31" s="7">
        <f t="shared" si="0"/>
        <v>604800</v>
      </c>
      <c r="D31" s="7">
        <f t="shared" si="1"/>
        <v>443520</v>
      </c>
      <c r="E31" s="7">
        <f t="shared" si="2"/>
        <v>315000</v>
      </c>
      <c r="F31" s="7">
        <f t="shared" si="3"/>
        <v>291800</v>
      </c>
      <c r="G31" s="7">
        <f t="shared" si="4"/>
        <v>1655120</v>
      </c>
      <c r="H31" s="7">
        <f t="shared" si="5"/>
        <v>132409.60000000001</v>
      </c>
      <c r="I31" s="7">
        <f t="shared" si="6"/>
        <v>141750</v>
      </c>
      <c r="J31" s="7">
        <f t="shared" si="7"/>
        <v>155232</v>
      </c>
      <c r="K31" s="7">
        <f t="shared" si="8"/>
        <v>122556</v>
      </c>
      <c r="L31" s="7">
        <f t="shared" si="9"/>
        <v>132409.60000000001</v>
      </c>
      <c r="M31" s="7">
        <f t="shared" si="10"/>
        <v>165512</v>
      </c>
      <c r="N31" s="7">
        <f t="shared" si="11"/>
        <v>99307.199999999997</v>
      </c>
      <c r="O31" s="7">
        <f t="shared" si="12"/>
        <v>57929.200000000004</v>
      </c>
      <c r="P31" s="18">
        <f t="shared" si="13"/>
        <v>139092</v>
      </c>
      <c r="Q31" s="7">
        <f t="shared" si="14"/>
        <v>1146197.5999999999</v>
      </c>
      <c r="R31" s="7">
        <f t="shared" si="15"/>
        <v>508922.40000000014</v>
      </c>
      <c r="S31" s="7">
        <f>30000</f>
        <v>30000</v>
      </c>
      <c r="T31" s="7">
        <f t="shared" si="16"/>
        <v>478922.40000000014</v>
      </c>
      <c r="U31" s="7">
        <f t="shared" si="19"/>
        <v>-1877175.1499999997</v>
      </c>
      <c r="V31" s="4">
        <v>5</v>
      </c>
      <c r="W31" s="4">
        <v>14</v>
      </c>
      <c r="X31" s="4">
        <v>880</v>
      </c>
      <c r="Y31" s="4">
        <v>125</v>
      </c>
      <c r="Z31" s="4">
        <v>450</v>
      </c>
      <c r="AA31" s="4">
        <v>65000</v>
      </c>
      <c r="AB31" s="18">
        <f t="shared" si="17"/>
        <v>139092</v>
      </c>
      <c r="AD31" s="20">
        <v>4</v>
      </c>
      <c r="AE31" s="21">
        <v>25758</v>
      </c>
      <c r="AF31" s="21">
        <v>32970</v>
      </c>
      <c r="AG31" s="21">
        <v>20606</v>
      </c>
      <c r="AH31" s="21">
        <v>19576</v>
      </c>
      <c r="AI31" s="21">
        <v>40182</v>
      </c>
      <c r="AJ31" s="18">
        <f t="shared" si="18"/>
        <v>139092</v>
      </c>
    </row>
    <row r="32" spans="1:36" x14ac:dyDescent="0.3">
      <c r="A32" s="8">
        <v>5</v>
      </c>
      <c r="B32" s="4">
        <v>40</v>
      </c>
      <c r="C32" s="7">
        <f t="shared" si="0"/>
        <v>672000</v>
      </c>
      <c r="D32" s="7">
        <f t="shared" si="1"/>
        <v>532000</v>
      </c>
      <c r="E32" s="7">
        <f t="shared" si="2"/>
        <v>369600</v>
      </c>
      <c r="F32" s="7">
        <f t="shared" si="3"/>
        <v>366200</v>
      </c>
      <c r="G32" s="7">
        <f t="shared" si="4"/>
        <v>1939800</v>
      </c>
      <c r="H32" s="7">
        <f t="shared" si="5"/>
        <v>155184</v>
      </c>
      <c r="I32" s="7">
        <f t="shared" si="6"/>
        <v>166320</v>
      </c>
      <c r="J32" s="7">
        <f t="shared" si="7"/>
        <v>186200</v>
      </c>
      <c r="K32" s="7">
        <f t="shared" si="8"/>
        <v>153804</v>
      </c>
      <c r="L32" s="7">
        <f t="shared" si="9"/>
        <v>155184</v>
      </c>
      <c r="M32" s="7">
        <f t="shared" si="10"/>
        <v>193980</v>
      </c>
      <c r="N32" s="7">
        <f t="shared" si="11"/>
        <v>116388</v>
      </c>
      <c r="O32" s="7">
        <f t="shared" si="12"/>
        <v>67893</v>
      </c>
      <c r="P32" s="18">
        <f t="shared" si="13"/>
        <v>140481</v>
      </c>
      <c r="Q32" s="7">
        <f t="shared" si="14"/>
        <v>1335434</v>
      </c>
      <c r="R32" s="7">
        <f t="shared" si="15"/>
        <v>604366</v>
      </c>
      <c r="S32" s="7">
        <f>30000</f>
        <v>30000</v>
      </c>
      <c r="T32" s="7">
        <f t="shared" si="16"/>
        <v>574366</v>
      </c>
      <c r="U32" s="7">
        <f t="shared" si="19"/>
        <v>-1302809.1499999997</v>
      </c>
      <c r="V32" s="4">
        <v>5</v>
      </c>
      <c r="W32" s="4">
        <v>14</v>
      </c>
      <c r="X32" s="4">
        <v>950</v>
      </c>
      <c r="Y32" s="4">
        <v>132</v>
      </c>
      <c r="Z32" s="4">
        <v>520</v>
      </c>
      <c r="AA32" s="4">
        <v>75000</v>
      </c>
      <c r="AB32" s="18">
        <f t="shared" si="17"/>
        <v>140481</v>
      </c>
      <c r="AD32" s="20">
        <v>5</v>
      </c>
      <c r="AE32" s="21">
        <v>26015</v>
      </c>
      <c r="AF32" s="21">
        <v>33299</v>
      </c>
      <c r="AG32" s="21">
        <v>20812</v>
      </c>
      <c r="AH32" s="21">
        <v>19771</v>
      </c>
      <c r="AI32" s="21">
        <v>40584</v>
      </c>
      <c r="AJ32" s="18">
        <f t="shared" si="18"/>
        <v>140481</v>
      </c>
    </row>
    <row r="33" spans="1:36" x14ac:dyDescent="0.3">
      <c r="A33" s="8">
        <v>6</v>
      </c>
      <c r="B33" s="4">
        <v>42</v>
      </c>
      <c r="C33" s="7">
        <f t="shared" si="0"/>
        <v>705600</v>
      </c>
      <c r="D33" s="7">
        <f t="shared" si="1"/>
        <v>599760</v>
      </c>
      <c r="E33" s="7">
        <f t="shared" si="2"/>
        <v>405720</v>
      </c>
      <c r="F33" s="7">
        <f t="shared" si="3"/>
        <v>426040</v>
      </c>
      <c r="G33" s="7">
        <f t="shared" si="4"/>
        <v>2137120</v>
      </c>
      <c r="H33" s="7">
        <f t="shared" si="5"/>
        <v>170969.60000000001</v>
      </c>
      <c r="I33" s="7">
        <f t="shared" si="6"/>
        <v>182574</v>
      </c>
      <c r="J33" s="7">
        <f t="shared" si="7"/>
        <v>209916</v>
      </c>
      <c r="K33" s="7">
        <f t="shared" si="8"/>
        <v>178936.8</v>
      </c>
      <c r="L33" s="7">
        <f t="shared" si="9"/>
        <v>170969.60000000001</v>
      </c>
      <c r="M33" s="7">
        <f t="shared" si="10"/>
        <v>213712</v>
      </c>
      <c r="N33" s="7">
        <f t="shared" si="11"/>
        <v>128227.2</v>
      </c>
      <c r="O33" s="7">
        <f t="shared" si="12"/>
        <v>74799.200000000012</v>
      </c>
      <c r="P33" s="18">
        <f t="shared" si="13"/>
        <v>141885</v>
      </c>
      <c r="Q33" s="7">
        <f t="shared" si="14"/>
        <v>1471989.4</v>
      </c>
      <c r="R33" s="7">
        <f t="shared" si="15"/>
        <v>665130.60000000009</v>
      </c>
      <c r="S33" s="7">
        <f>60000</f>
        <v>60000</v>
      </c>
      <c r="T33" s="7">
        <f t="shared" si="16"/>
        <v>605130.60000000009</v>
      </c>
      <c r="U33" s="7">
        <f t="shared" si="19"/>
        <v>-697678.54999999958</v>
      </c>
      <c r="V33" s="4">
        <v>5</v>
      </c>
      <c r="W33" s="4">
        <v>14</v>
      </c>
      <c r="X33" s="4">
        <v>1020</v>
      </c>
      <c r="Y33" s="4">
        <v>138</v>
      </c>
      <c r="Z33" s="4">
        <v>580</v>
      </c>
      <c r="AA33" s="4">
        <v>85000</v>
      </c>
      <c r="AB33" s="18">
        <f t="shared" si="17"/>
        <v>141885</v>
      </c>
      <c r="AD33" s="20">
        <v>6</v>
      </c>
      <c r="AE33" s="21">
        <v>26275</v>
      </c>
      <c r="AF33" s="21">
        <v>33632</v>
      </c>
      <c r="AG33" s="21">
        <v>21020</v>
      </c>
      <c r="AH33" s="21">
        <v>19969</v>
      </c>
      <c r="AI33" s="21">
        <v>40989</v>
      </c>
      <c r="AJ33" s="18">
        <f t="shared" si="18"/>
        <v>141885</v>
      </c>
    </row>
    <row r="34" spans="1:36" x14ac:dyDescent="0.3">
      <c r="A34" s="8">
        <v>7</v>
      </c>
      <c r="B34" s="4">
        <v>44</v>
      </c>
      <c r="C34" s="7">
        <f t="shared" si="0"/>
        <v>739200</v>
      </c>
      <c r="D34" s="7">
        <f t="shared" si="1"/>
        <v>677600</v>
      </c>
      <c r="E34" s="7">
        <f t="shared" si="2"/>
        <v>446600</v>
      </c>
      <c r="F34" s="7">
        <f t="shared" si="3"/>
        <v>495400</v>
      </c>
      <c r="G34" s="7">
        <f t="shared" si="4"/>
        <v>2358800</v>
      </c>
      <c r="H34" s="7">
        <f t="shared" si="5"/>
        <v>188704</v>
      </c>
      <c r="I34" s="7">
        <f t="shared" si="6"/>
        <v>200970</v>
      </c>
      <c r="J34" s="7">
        <f t="shared" si="7"/>
        <v>237159.99999999997</v>
      </c>
      <c r="K34" s="7">
        <f t="shared" si="8"/>
        <v>208068</v>
      </c>
      <c r="L34" s="7">
        <f t="shared" si="9"/>
        <v>188704</v>
      </c>
      <c r="M34" s="7">
        <f t="shared" si="10"/>
        <v>235880</v>
      </c>
      <c r="N34" s="7">
        <f t="shared" si="11"/>
        <v>141528</v>
      </c>
      <c r="O34" s="7">
        <f t="shared" si="12"/>
        <v>82558.000000000015</v>
      </c>
      <c r="P34" s="18">
        <f t="shared" si="13"/>
        <v>143305</v>
      </c>
      <c r="Q34" s="7">
        <f t="shared" si="14"/>
        <v>1626877</v>
      </c>
      <c r="R34" s="7">
        <f t="shared" si="15"/>
        <v>731923</v>
      </c>
      <c r="S34" s="7">
        <f>30000</f>
        <v>30000</v>
      </c>
      <c r="T34" s="7">
        <f t="shared" si="16"/>
        <v>701923</v>
      </c>
      <c r="U34" s="7">
        <f t="shared" si="19"/>
        <v>4244.4500000004191</v>
      </c>
      <c r="V34" s="4">
        <v>5</v>
      </c>
      <c r="W34" s="4">
        <v>14</v>
      </c>
      <c r="X34" s="4">
        <v>1100</v>
      </c>
      <c r="Y34" s="4">
        <v>145</v>
      </c>
      <c r="Z34" s="4">
        <v>650</v>
      </c>
      <c r="AA34" s="4">
        <v>95000</v>
      </c>
      <c r="AB34" s="18">
        <f t="shared" si="17"/>
        <v>143305</v>
      </c>
      <c r="AD34" s="20">
        <v>7</v>
      </c>
      <c r="AE34" s="21">
        <v>26538</v>
      </c>
      <c r="AF34" s="21">
        <v>33969</v>
      </c>
      <c r="AG34" s="21">
        <v>21230</v>
      </c>
      <c r="AH34" s="21">
        <v>20169</v>
      </c>
      <c r="AI34" s="21">
        <v>41399</v>
      </c>
      <c r="AJ34" s="18">
        <f t="shared" si="18"/>
        <v>143305</v>
      </c>
    </row>
    <row r="35" spans="1:36" x14ac:dyDescent="0.3">
      <c r="A35" s="8">
        <v>8</v>
      </c>
      <c r="B35" s="8">
        <f>B34</f>
        <v>44</v>
      </c>
      <c r="C35" s="7">
        <f t="shared" ref="C35:C62" si="20">G35*(C34/G34)</f>
        <v>761376</v>
      </c>
      <c r="D35" s="7">
        <f t="shared" ref="D35:D62" si="21">G35*(D34/G34)</f>
        <v>697928</v>
      </c>
      <c r="E35" s="7">
        <f t="shared" ref="E35:E62" si="22">G35*(E34/G34)</f>
        <v>459998</v>
      </c>
      <c r="F35" s="7">
        <f t="shared" ref="F35:F62" si="23">G35*(F34/G34)</f>
        <v>510262</v>
      </c>
      <c r="G35" s="7">
        <f t="shared" ref="G35:G62" si="24">G34*(1+IF(A35&lt;=15,3%,2%))</f>
        <v>2429564</v>
      </c>
      <c r="H35" s="7">
        <f t="shared" si="5"/>
        <v>194365.12</v>
      </c>
      <c r="I35" s="7">
        <f t="shared" si="6"/>
        <v>206999.1</v>
      </c>
      <c r="J35" s="7">
        <f t="shared" si="7"/>
        <v>244274.8</v>
      </c>
      <c r="K35" s="7">
        <f t="shared" si="8"/>
        <v>214310.03999999998</v>
      </c>
      <c r="L35" s="7">
        <f t="shared" si="9"/>
        <v>194365.12</v>
      </c>
      <c r="M35" s="7">
        <f t="shared" si="10"/>
        <v>242956.40000000002</v>
      </c>
      <c r="N35" s="7">
        <f t="shared" si="11"/>
        <v>145773.84</v>
      </c>
      <c r="O35" s="7">
        <f t="shared" si="12"/>
        <v>85034.74</v>
      </c>
      <c r="P35" s="7">
        <f t="shared" si="13"/>
        <v>147317.54</v>
      </c>
      <c r="Q35" s="7">
        <f t="shared" si="14"/>
        <v>1675396.7000000002</v>
      </c>
      <c r="R35" s="7">
        <f t="shared" si="15"/>
        <v>754167.29999999981</v>
      </c>
      <c r="S35" s="7">
        <f t="shared" ref="S35:S62" si="25">35000+IF(MOD(A35,5)=0,75000,0)+IF(MOD(A35,10)=0,120000,0)</f>
        <v>35000</v>
      </c>
      <c r="T35" s="7">
        <f t="shared" si="16"/>
        <v>719167.29999999981</v>
      </c>
      <c r="U35" s="7">
        <f t="shared" si="19"/>
        <v>723411.75000000023</v>
      </c>
      <c r="V35" s="8">
        <f>V34</f>
        <v>5</v>
      </c>
      <c r="W35" s="8">
        <f>W34</f>
        <v>14</v>
      </c>
      <c r="X35" s="7">
        <f>X34*(1+IF(A35&lt;=15,3%,2%))</f>
        <v>1133</v>
      </c>
      <c r="Y35" s="7">
        <f>Y34*(1+IF(A35&lt;=15,3%,2%))</f>
        <v>149.35</v>
      </c>
      <c r="Z35" s="7">
        <f>Z34*(1+IF(A35&lt;=15,3%,2%))</f>
        <v>669.5</v>
      </c>
      <c r="AA35" s="7">
        <f t="shared" ref="AA35:AA62" si="26">AA34*(1+IF(A35&lt;=15,3%,2%))</f>
        <v>97850</v>
      </c>
      <c r="AB35" s="7">
        <f t="shared" ref="AB35:AB62" si="27">AB34*(1+IF(A35&lt;=15,2.8%,2.1%))</f>
        <v>147317.54</v>
      </c>
    </row>
    <row r="36" spans="1:36" x14ac:dyDescent="0.3">
      <c r="A36" s="8">
        <v>9</v>
      </c>
      <c r="B36" s="8">
        <f>B34</f>
        <v>44</v>
      </c>
      <c r="C36" s="7">
        <f t="shared" si="20"/>
        <v>784217.28</v>
      </c>
      <c r="D36" s="7">
        <f t="shared" si="21"/>
        <v>718865.84</v>
      </c>
      <c r="E36" s="7">
        <f t="shared" si="22"/>
        <v>473797.94</v>
      </c>
      <c r="F36" s="7">
        <f t="shared" si="23"/>
        <v>525569.86</v>
      </c>
      <c r="G36" s="7">
        <f t="shared" si="24"/>
        <v>2502450.92</v>
      </c>
      <c r="H36" s="7">
        <f t="shared" si="5"/>
        <v>200196.0736</v>
      </c>
      <c r="I36" s="7">
        <f t="shared" si="6"/>
        <v>213209.073</v>
      </c>
      <c r="J36" s="7">
        <f t="shared" si="7"/>
        <v>251603.04399999997</v>
      </c>
      <c r="K36" s="7">
        <f t="shared" si="8"/>
        <v>220739.3412</v>
      </c>
      <c r="L36" s="7">
        <f t="shared" si="9"/>
        <v>200196.0736</v>
      </c>
      <c r="M36" s="7">
        <f t="shared" si="10"/>
        <v>250245.092</v>
      </c>
      <c r="N36" s="7">
        <f t="shared" si="11"/>
        <v>150147.0552</v>
      </c>
      <c r="O36" s="7">
        <f t="shared" si="12"/>
        <v>87585.782200000001</v>
      </c>
      <c r="P36" s="7">
        <f t="shared" si="13"/>
        <v>151442.43112000002</v>
      </c>
      <c r="Q36" s="7">
        <f t="shared" si="14"/>
        <v>1725363.9659200001</v>
      </c>
      <c r="R36" s="7">
        <f t="shared" si="15"/>
        <v>777086.95407999982</v>
      </c>
      <c r="S36" s="7">
        <f t="shared" si="25"/>
        <v>35000</v>
      </c>
      <c r="T36" s="7">
        <f t="shared" si="16"/>
        <v>742086.95407999982</v>
      </c>
      <c r="U36" s="7">
        <f t="shared" si="19"/>
        <v>1465498.7040800001</v>
      </c>
      <c r="V36" s="8">
        <f>V34</f>
        <v>5</v>
      </c>
      <c r="W36" s="8">
        <f>W34</f>
        <v>14</v>
      </c>
      <c r="X36" s="7">
        <f>X34*(1+IF(A36&lt;=15,3%,2%))</f>
        <v>1133</v>
      </c>
      <c r="Y36" s="7">
        <f>Y34*(1+IF(A36&lt;=15,3%,2%))</f>
        <v>149.35</v>
      </c>
      <c r="Z36" s="7">
        <f>Z34*(1+IF(A36&lt;=15,3%,2%))</f>
        <v>669.5</v>
      </c>
      <c r="AA36" s="7">
        <f t="shared" si="26"/>
        <v>100785.5</v>
      </c>
      <c r="AB36" s="7">
        <f t="shared" si="27"/>
        <v>151442.43112000002</v>
      </c>
    </row>
    <row r="37" spans="1:36" x14ac:dyDescent="0.3">
      <c r="A37" s="8">
        <v>10</v>
      </c>
      <c r="B37" s="8">
        <f>B34</f>
        <v>44</v>
      </c>
      <c r="C37" s="7">
        <f t="shared" si="20"/>
        <v>807743.79840000009</v>
      </c>
      <c r="D37" s="7">
        <f t="shared" si="21"/>
        <v>740431.81520000007</v>
      </c>
      <c r="E37" s="7">
        <f t="shared" si="22"/>
        <v>488011.87820000004</v>
      </c>
      <c r="F37" s="7">
        <f t="shared" si="23"/>
        <v>541336.9558</v>
      </c>
      <c r="G37" s="7">
        <f t="shared" si="24"/>
        <v>2577524.4476000001</v>
      </c>
      <c r="H37" s="7">
        <f t="shared" si="5"/>
        <v>206201.955808</v>
      </c>
      <c r="I37" s="7">
        <f t="shared" si="6"/>
        <v>219605.34519000002</v>
      </c>
      <c r="J37" s="7">
        <f t="shared" si="7"/>
        <v>259151.13532</v>
      </c>
      <c r="K37" s="7">
        <f t="shared" si="8"/>
        <v>227361.52143599998</v>
      </c>
      <c r="L37" s="7">
        <f t="shared" si="9"/>
        <v>206201.955808</v>
      </c>
      <c r="M37" s="7">
        <f t="shared" si="10"/>
        <v>257752.44476000001</v>
      </c>
      <c r="N37" s="7">
        <f t="shared" si="11"/>
        <v>154651.46685599998</v>
      </c>
      <c r="O37" s="7">
        <f t="shared" si="12"/>
        <v>90213.355666000018</v>
      </c>
      <c r="P37" s="7">
        <f t="shared" si="13"/>
        <v>155682.81919136003</v>
      </c>
      <c r="Q37" s="7">
        <f t="shared" si="14"/>
        <v>1776822.00003536</v>
      </c>
      <c r="R37" s="7">
        <f t="shared" si="15"/>
        <v>800702.44756464008</v>
      </c>
      <c r="S37" s="7">
        <f t="shared" si="25"/>
        <v>230000</v>
      </c>
      <c r="T37" s="7">
        <f t="shared" si="16"/>
        <v>570702.44756464008</v>
      </c>
      <c r="U37" s="7">
        <f t="shared" si="19"/>
        <v>2036201.1516446401</v>
      </c>
      <c r="V37" s="8">
        <f>V34</f>
        <v>5</v>
      </c>
      <c r="W37" s="8">
        <f>W34</f>
        <v>14</v>
      </c>
      <c r="X37" s="7">
        <f>X34*(1+IF(A37&lt;=15,3%,2%))</f>
        <v>1133</v>
      </c>
      <c r="Y37" s="7">
        <f>Y34*(1+IF(A37&lt;=15,3%,2%))</f>
        <v>149.35</v>
      </c>
      <c r="Z37" s="7">
        <f>Z34*(1+IF(A37&lt;=15,3%,2%))</f>
        <v>669.5</v>
      </c>
      <c r="AA37" s="7">
        <f t="shared" si="26"/>
        <v>103809.065</v>
      </c>
      <c r="AB37" s="7">
        <f t="shared" si="27"/>
        <v>155682.81919136003</v>
      </c>
    </row>
    <row r="38" spans="1:36" x14ac:dyDescent="0.3">
      <c r="A38" s="8">
        <v>11</v>
      </c>
      <c r="B38" s="8">
        <f>B34</f>
        <v>44</v>
      </c>
      <c r="C38" s="7">
        <f t="shared" si="20"/>
        <v>831976.11235200008</v>
      </c>
      <c r="D38" s="7">
        <f t="shared" si="21"/>
        <v>762644.76965600008</v>
      </c>
      <c r="E38" s="7">
        <f t="shared" si="22"/>
        <v>502652.23454600002</v>
      </c>
      <c r="F38" s="7">
        <f t="shared" si="23"/>
        <v>557577.06447400001</v>
      </c>
      <c r="G38" s="7">
        <f t="shared" si="24"/>
        <v>2654850.1810280001</v>
      </c>
      <c r="H38" s="7">
        <f t="shared" si="5"/>
        <v>212388.01448224002</v>
      </c>
      <c r="I38" s="7">
        <f t="shared" si="6"/>
        <v>226193.50554570003</v>
      </c>
      <c r="J38" s="7">
        <f t="shared" si="7"/>
        <v>266925.66937960003</v>
      </c>
      <c r="K38" s="7">
        <f t="shared" si="8"/>
        <v>234182.36707908</v>
      </c>
      <c r="L38" s="7">
        <f t="shared" si="9"/>
        <v>212388.01448224002</v>
      </c>
      <c r="M38" s="7">
        <f t="shared" si="10"/>
        <v>265485.01810280001</v>
      </c>
      <c r="N38" s="7">
        <f t="shared" si="11"/>
        <v>159291.01086168</v>
      </c>
      <c r="O38" s="7">
        <f t="shared" si="12"/>
        <v>92919.756335980011</v>
      </c>
      <c r="P38" s="7">
        <f t="shared" si="13"/>
        <v>160041.93812871812</v>
      </c>
      <c r="Q38" s="7">
        <f t="shared" si="14"/>
        <v>1829815.2943980382</v>
      </c>
      <c r="R38" s="7">
        <f t="shared" si="15"/>
        <v>825034.8866299619</v>
      </c>
      <c r="S38" s="7">
        <f t="shared" si="25"/>
        <v>35000</v>
      </c>
      <c r="T38" s="7">
        <f t="shared" si="16"/>
        <v>790034.8866299619</v>
      </c>
      <c r="U38" s="7">
        <f t="shared" si="19"/>
        <v>2826236.038274602</v>
      </c>
      <c r="V38" s="8">
        <f>V34</f>
        <v>5</v>
      </c>
      <c r="W38" s="8">
        <f>W34</f>
        <v>14</v>
      </c>
      <c r="X38" s="7">
        <f>X34*(1+IF(A38&lt;=15,3%,2%))</f>
        <v>1133</v>
      </c>
      <c r="Y38" s="7">
        <f>Y34*(1+IF(A38&lt;=15,3%,2%))</f>
        <v>149.35</v>
      </c>
      <c r="Z38" s="7">
        <f>Z34*(1+IF(A38&lt;=15,3%,2%))</f>
        <v>669.5</v>
      </c>
      <c r="AA38" s="7">
        <f t="shared" si="26"/>
        <v>106923.33695000001</v>
      </c>
      <c r="AB38" s="7">
        <f t="shared" si="27"/>
        <v>160041.93812871812</v>
      </c>
    </row>
    <row r="39" spans="1:36" x14ac:dyDescent="0.3">
      <c r="A39" s="8">
        <v>12</v>
      </c>
      <c r="B39" s="8">
        <f>B34</f>
        <v>44</v>
      </c>
      <c r="C39" s="7">
        <f t="shared" si="20"/>
        <v>856935.39572256</v>
      </c>
      <c r="D39" s="7">
        <f t="shared" si="21"/>
        <v>785524.11274568003</v>
      </c>
      <c r="E39" s="7">
        <f t="shared" si="22"/>
        <v>517731.80158238002</v>
      </c>
      <c r="F39" s="7">
        <f t="shared" si="23"/>
        <v>574304.37640822004</v>
      </c>
      <c r="G39" s="7">
        <f t="shared" si="24"/>
        <v>2734495.68645884</v>
      </c>
      <c r="H39" s="7">
        <f t="shared" si="5"/>
        <v>218759.65491670719</v>
      </c>
      <c r="I39" s="7">
        <f t="shared" si="6"/>
        <v>232979.31071207102</v>
      </c>
      <c r="J39" s="7">
        <f t="shared" si="7"/>
        <v>274933.43946098798</v>
      </c>
      <c r="K39" s="7">
        <f t="shared" si="8"/>
        <v>241207.8380914524</v>
      </c>
      <c r="L39" s="7">
        <f t="shared" si="9"/>
        <v>218759.65491670719</v>
      </c>
      <c r="M39" s="7">
        <f t="shared" si="10"/>
        <v>273449.56864588399</v>
      </c>
      <c r="N39" s="7">
        <f t="shared" si="11"/>
        <v>164069.7411875304</v>
      </c>
      <c r="O39" s="7">
        <f t="shared" si="12"/>
        <v>95707.349026059412</v>
      </c>
      <c r="P39" s="7">
        <f t="shared" si="13"/>
        <v>164523.11239632222</v>
      </c>
      <c r="Q39" s="7">
        <f t="shared" si="14"/>
        <v>1884389.6693537219</v>
      </c>
      <c r="R39" s="7">
        <f t="shared" si="15"/>
        <v>850106.01710511814</v>
      </c>
      <c r="S39" s="7">
        <f t="shared" si="25"/>
        <v>35000</v>
      </c>
      <c r="T39" s="7">
        <f t="shared" si="16"/>
        <v>815106.01710511814</v>
      </c>
      <c r="U39" s="7">
        <f t="shared" si="19"/>
        <v>3641342.0553797204</v>
      </c>
      <c r="V39" s="8">
        <f>V34</f>
        <v>5</v>
      </c>
      <c r="W39" s="8">
        <f>W34</f>
        <v>14</v>
      </c>
      <c r="X39" s="7">
        <f>X34*(1+IF(A39&lt;=15,3%,2%))</f>
        <v>1133</v>
      </c>
      <c r="Y39" s="7">
        <f>Y34*(1+IF(A39&lt;=15,3%,2%))</f>
        <v>149.35</v>
      </c>
      <c r="Z39" s="7">
        <f>Z34*(1+IF(A39&lt;=15,3%,2%))</f>
        <v>669.5</v>
      </c>
      <c r="AA39" s="7">
        <f t="shared" si="26"/>
        <v>110131.03705850002</v>
      </c>
      <c r="AB39" s="7">
        <f t="shared" si="27"/>
        <v>164523.11239632222</v>
      </c>
    </row>
    <row r="40" spans="1:36" x14ac:dyDescent="0.3">
      <c r="A40" s="8">
        <v>13</v>
      </c>
      <c r="B40" s="8">
        <f>B34</f>
        <v>44</v>
      </c>
      <c r="C40" s="7">
        <f t="shared" si="20"/>
        <v>882643.45759423682</v>
      </c>
      <c r="D40" s="7">
        <f t="shared" si="21"/>
        <v>809089.83612805046</v>
      </c>
      <c r="E40" s="7">
        <f t="shared" si="22"/>
        <v>533263.75562985137</v>
      </c>
      <c r="F40" s="7">
        <f t="shared" si="23"/>
        <v>591533.50770046667</v>
      </c>
      <c r="G40" s="7">
        <f t="shared" si="24"/>
        <v>2816530.5570526053</v>
      </c>
      <c r="H40" s="7">
        <f t="shared" si="5"/>
        <v>225322.44456420842</v>
      </c>
      <c r="I40" s="7">
        <f t="shared" si="6"/>
        <v>239968.69003343311</v>
      </c>
      <c r="J40" s="7">
        <f t="shared" si="7"/>
        <v>283181.44264481764</v>
      </c>
      <c r="K40" s="7">
        <f t="shared" si="8"/>
        <v>248444.073234196</v>
      </c>
      <c r="L40" s="7">
        <f t="shared" si="9"/>
        <v>225322.44456420842</v>
      </c>
      <c r="M40" s="7">
        <f t="shared" si="10"/>
        <v>281653.05570526054</v>
      </c>
      <c r="N40" s="7">
        <f t="shared" si="11"/>
        <v>168991.83342315632</v>
      </c>
      <c r="O40" s="7">
        <f t="shared" si="12"/>
        <v>98578.569496841199</v>
      </c>
      <c r="P40" s="7">
        <f t="shared" si="13"/>
        <v>169129.75954341923</v>
      </c>
      <c r="Q40" s="7">
        <f t="shared" si="14"/>
        <v>1940592.3132095407</v>
      </c>
      <c r="R40" s="7">
        <f t="shared" si="15"/>
        <v>875938.24384306464</v>
      </c>
      <c r="S40" s="7">
        <f t="shared" si="25"/>
        <v>35000</v>
      </c>
      <c r="T40" s="7">
        <f t="shared" si="16"/>
        <v>840938.24384306464</v>
      </c>
      <c r="U40" s="7">
        <f t="shared" si="19"/>
        <v>4482280.299222785</v>
      </c>
      <c r="V40" s="8">
        <f>V34</f>
        <v>5</v>
      </c>
      <c r="W40" s="8">
        <f>W34</f>
        <v>14</v>
      </c>
      <c r="X40" s="7">
        <f>X34*(1+IF(A40&lt;=15,3%,2%))</f>
        <v>1133</v>
      </c>
      <c r="Y40" s="7">
        <f>Y34*(1+IF(A40&lt;=15,3%,2%))</f>
        <v>149.35</v>
      </c>
      <c r="Z40" s="7">
        <f>Z34*(1+IF(A40&lt;=15,3%,2%))</f>
        <v>669.5</v>
      </c>
      <c r="AA40" s="7">
        <f t="shared" si="26"/>
        <v>113434.96817025503</v>
      </c>
      <c r="AB40" s="7">
        <f t="shared" si="27"/>
        <v>169129.75954341923</v>
      </c>
    </row>
    <row r="41" spans="1:36" x14ac:dyDescent="0.3">
      <c r="A41" s="8">
        <v>14</v>
      </c>
      <c r="B41" s="8">
        <f>B34</f>
        <v>44</v>
      </c>
      <c r="C41" s="7">
        <f t="shared" si="20"/>
        <v>909122.76132206398</v>
      </c>
      <c r="D41" s="7">
        <f t="shared" si="21"/>
        <v>833362.53121189203</v>
      </c>
      <c r="E41" s="7">
        <f t="shared" si="22"/>
        <v>549261.66829874692</v>
      </c>
      <c r="F41" s="7">
        <f t="shared" si="23"/>
        <v>609279.51293148065</v>
      </c>
      <c r="G41" s="7">
        <f t="shared" si="24"/>
        <v>2901026.4737641835</v>
      </c>
      <c r="H41" s="7">
        <f t="shared" si="5"/>
        <v>232082.11790113468</v>
      </c>
      <c r="I41" s="7">
        <f t="shared" si="6"/>
        <v>247167.75073443612</v>
      </c>
      <c r="J41" s="7">
        <f t="shared" si="7"/>
        <v>291676.88592416217</v>
      </c>
      <c r="K41" s="7">
        <f t="shared" si="8"/>
        <v>255897.39543122187</v>
      </c>
      <c r="L41" s="7">
        <f t="shared" si="9"/>
        <v>232082.11790113468</v>
      </c>
      <c r="M41" s="7">
        <f t="shared" si="10"/>
        <v>290102.64737641835</v>
      </c>
      <c r="N41" s="7">
        <f t="shared" si="11"/>
        <v>174061.58842585099</v>
      </c>
      <c r="O41" s="7">
        <f t="shared" si="12"/>
        <v>101535.92658174643</v>
      </c>
      <c r="P41" s="7">
        <f t="shared" si="13"/>
        <v>173865.39281063498</v>
      </c>
      <c r="Q41" s="7">
        <f t="shared" si="14"/>
        <v>1998471.8230867404</v>
      </c>
      <c r="R41" s="7">
        <f t="shared" si="15"/>
        <v>902554.65067744302</v>
      </c>
      <c r="S41" s="7">
        <f t="shared" si="25"/>
        <v>35000</v>
      </c>
      <c r="T41" s="7">
        <f t="shared" si="16"/>
        <v>867554.65067744302</v>
      </c>
      <c r="U41" s="7">
        <f t="shared" si="19"/>
        <v>5349834.9499002285</v>
      </c>
      <c r="V41" s="8">
        <f>V34</f>
        <v>5</v>
      </c>
      <c r="W41" s="8">
        <f>W34</f>
        <v>14</v>
      </c>
      <c r="X41" s="7">
        <f>X34*(1+IF(A41&lt;=15,3%,2%))</f>
        <v>1133</v>
      </c>
      <c r="Y41" s="7">
        <f>Y34*(1+IF(A41&lt;=15,3%,2%))</f>
        <v>149.35</v>
      </c>
      <c r="Z41" s="7">
        <f>Z34*(1+IF(A41&lt;=15,3%,2%))</f>
        <v>669.5</v>
      </c>
      <c r="AA41" s="7">
        <f t="shared" si="26"/>
        <v>116838.01721536268</v>
      </c>
      <c r="AB41" s="7">
        <f t="shared" si="27"/>
        <v>173865.39281063498</v>
      </c>
    </row>
    <row r="42" spans="1:36" x14ac:dyDescent="0.3">
      <c r="A42" s="8">
        <v>15</v>
      </c>
      <c r="B42" s="8">
        <f>B34</f>
        <v>44</v>
      </c>
      <c r="C42" s="7">
        <f t="shared" si="20"/>
        <v>936396.44416172593</v>
      </c>
      <c r="D42" s="7">
        <f t="shared" si="21"/>
        <v>858363.40714824887</v>
      </c>
      <c r="E42" s="7">
        <f t="shared" si="22"/>
        <v>565739.51834770944</v>
      </c>
      <c r="F42" s="7">
        <f t="shared" si="23"/>
        <v>627557.89831942506</v>
      </c>
      <c r="G42" s="7">
        <f t="shared" si="24"/>
        <v>2988057.2679771092</v>
      </c>
      <c r="H42" s="7">
        <f t="shared" si="5"/>
        <v>239044.58143816874</v>
      </c>
      <c r="I42" s="7">
        <f t="shared" si="6"/>
        <v>254582.78325646927</v>
      </c>
      <c r="J42" s="7">
        <f t="shared" si="7"/>
        <v>300427.1925018871</v>
      </c>
      <c r="K42" s="7">
        <f t="shared" si="8"/>
        <v>263574.31729415851</v>
      </c>
      <c r="L42" s="7">
        <f t="shared" si="9"/>
        <v>239044.58143816874</v>
      </c>
      <c r="M42" s="7">
        <f t="shared" si="10"/>
        <v>298805.72679771093</v>
      </c>
      <c r="N42" s="7">
        <f t="shared" si="11"/>
        <v>179283.43607862655</v>
      </c>
      <c r="O42" s="7">
        <f t="shared" si="12"/>
        <v>104582.00437919883</v>
      </c>
      <c r="P42" s="7">
        <f t="shared" si="13"/>
        <v>178733.62380933276</v>
      </c>
      <c r="Q42" s="7">
        <f t="shared" si="14"/>
        <v>2058078.2469937212</v>
      </c>
      <c r="R42" s="7">
        <f t="shared" si="15"/>
        <v>929979.02098338795</v>
      </c>
      <c r="S42" s="7">
        <f t="shared" si="25"/>
        <v>110000</v>
      </c>
      <c r="T42" s="7">
        <f t="shared" si="16"/>
        <v>819979.02098338795</v>
      </c>
      <c r="U42" s="7">
        <f t="shared" si="19"/>
        <v>6169813.9708836162</v>
      </c>
      <c r="V42" s="8">
        <f>V34</f>
        <v>5</v>
      </c>
      <c r="W42" s="8">
        <f>W34</f>
        <v>14</v>
      </c>
      <c r="X42" s="7">
        <f>X34*(1+IF(A42&lt;=15,3%,2%))</f>
        <v>1133</v>
      </c>
      <c r="Y42" s="7">
        <f>Y34*(1+IF(A42&lt;=15,3%,2%))</f>
        <v>149.35</v>
      </c>
      <c r="Z42" s="7">
        <f>Z34*(1+IF(A42&lt;=15,3%,2%))</f>
        <v>669.5</v>
      </c>
      <c r="AA42" s="7">
        <f t="shared" si="26"/>
        <v>120343.15773182356</v>
      </c>
      <c r="AB42" s="7">
        <f t="shared" si="27"/>
        <v>178733.62380933276</v>
      </c>
    </row>
    <row r="43" spans="1:36" x14ac:dyDescent="0.3">
      <c r="A43" s="8">
        <v>16</v>
      </c>
      <c r="B43" s="8">
        <f>B34</f>
        <v>44</v>
      </c>
      <c r="C43" s="7">
        <f t="shared" si="20"/>
        <v>955124.37304496043</v>
      </c>
      <c r="D43" s="7">
        <f t="shared" si="21"/>
        <v>875530.67529121379</v>
      </c>
      <c r="E43" s="7">
        <f t="shared" si="22"/>
        <v>577054.30871466361</v>
      </c>
      <c r="F43" s="7">
        <f t="shared" si="23"/>
        <v>640109.05628581357</v>
      </c>
      <c r="G43" s="7">
        <f t="shared" si="24"/>
        <v>3047818.4133366514</v>
      </c>
      <c r="H43" s="7">
        <f t="shared" si="5"/>
        <v>243825.47306693211</v>
      </c>
      <c r="I43" s="7">
        <f t="shared" si="6"/>
        <v>259674.43892159863</v>
      </c>
      <c r="J43" s="7">
        <f t="shared" si="7"/>
        <v>306435.73635192483</v>
      </c>
      <c r="K43" s="7">
        <f t="shared" si="8"/>
        <v>268845.80364004167</v>
      </c>
      <c r="L43" s="7">
        <f t="shared" si="9"/>
        <v>243825.47306693211</v>
      </c>
      <c r="M43" s="7">
        <f t="shared" si="10"/>
        <v>304781.84133366513</v>
      </c>
      <c r="N43" s="7">
        <f t="shared" si="11"/>
        <v>182869.10480019907</v>
      </c>
      <c r="O43" s="7">
        <f t="shared" si="12"/>
        <v>106673.6444667828</v>
      </c>
      <c r="P43" s="7">
        <f t="shared" si="13"/>
        <v>182487.02990932873</v>
      </c>
      <c r="Q43" s="7">
        <f t="shared" si="14"/>
        <v>2099418.5455574049</v>
      </c>
      <c r="R43" s="7">
        <f t="shared" si="15"/>
        <v>948399.86777924653</v>
      </c>
      <c r="S43" s="7">
        <f t="shared" si="25"/>
        <v>35000</v>
      </c>
      <c r="T43" s="7">
        <f t="shared" si="16"/>
        <v>913399.86777924653</v>
      </c>
      <c r="U43" s="7">
        <f t="shared" si="19"/>
        <v>7083213.8386628628</v>
      </c>
      <c r="V43" s="8">
        <f>V34</f>
        <v>5</v>
      </c>
      <c r="W43" s="8">
        <f>W34</f>
        <v>14</v>
      </c>
      <c r="X43" s="7">
        <f>X34*(1+IF(A43&lt;=15,3%,2%))</f>
        <v>1122</v>
      </c>
      <c r="Y43" s="7">
        <f>Y34*(1+IF(A43&lt;=15,3%,2%))</f>
        <v>147.9</v>
      </c>
      <c r="Z43" s="7">
        <f>Z34*(1+IF(A43&lt;=15,3%,2%))</f>
        <v>663</v>
      </c>
      <c r="AA43" s="7">
        <f t="shared" si="26"/>
        <v>122750.02088646004</v>
      </c>
      <c r="AB43" s="7">
        <f t="shared" si="27"/>
        <v>182487.02990932873</v>
      </c>
    </row>
    <row r="44" spans="1:36" x14ac:dyDescent="0.3">
      <c r="A44" s="8">
        <v>17</v>
      </c>
      <c r="B44" s="8">
        <f>B34</f>
        <v>44</v>
      </c>
      <c r="C44" s="7">
        <f t="shared" si="20"/>
        <v>974226.8605058596</v>
      </c>
      <c r="D44" s="7">
        <f t="shared" si="21"/>
        <v>893041.28879703803</v>
      </c>
      <c r="E44" s="7">
        <f t="shared" si="22"/>
        <v>588595.3948889568</v>
      </c>
      <c r="F44" s="7">
        <f t="shared" si="23"/>
        <v>652911.23741152976</v>
      </c>
      <c r="G44" s="7">
        <f t="shared" si="24"/>
        <v>3108774.7816033843</v>
      </c>
      <c r="H44" s="7">
        <f t="shared" si="5"/>
        <v>248701.98252827075</v>
      </c>
      <c r="I44" s="7">
        <f t="shared" si="6"/>
        <v>264867.92770003056</v>
      </c>
      <c r="J44" s="7">
        <f t="shared" si="7"/>
        <v>312564.45107896329</v>
      </c>
      <c r="K44" s="7">
        <f t="shared" si="8"/>
        <v>274222.71971284249</v>
      </c>
      <c r="L44" s="7">
        <f t="shared" si="9"/>
        <v>248701.98252827075</v>
      </c>
      <c r="M44" s="7">
        <f t="shared" si="10"/>
        <v>310877.47816033842</v>
      </c>
      <c r="N44" s="7">
        <f t="shared" si="11"/>
        <v>186526.48689620305</v>
      </c>
      <c r="O44" s="7">
        <f t="shared" si="12"/>
        <v>108807.11735611846</v>
      </c>
      <c r="P44" s="7">
        <f t="shared" si="13"/>
        <v>186319.25753742462</v>
      </c>
      <c r="Q44" s="7">
        <f t="shared" si="14"/>
        <v>2141589.4034984624</v>
      </c>
      <c r="R44" s="7">
        <f t="shared" si="15"/>
        <v>967185.3781049219</v>
      </c>
      <c r="S44" s="7">
        <f t="shared" si="25"/>
        <v>35000</v>
      </c>
      <c r="T44" s="7">
        <f t="shared" si="16"/>
        <v>932185.3781049219</v>
      </c>
      <c r="U44" s="7">
        <f t="shared" si="19"/>
        <v>8015399.2167677842</v>
      </c>
      <c r="V44" s="8">
        <f>V34</f>
        <v>5</v>
      </c>
      <c r="W44" s="8">
        <f>W34</f>
        <v>14</v>
      </c>
      <c r="X44" s="7">
        <f>X34*(1+IF(A44&lt;=15,3%,2%))</f>
        <v>1122</v>
      </c>
      <c r="Y44" s="7">
        <f>Y34*(1+IF(A44&lt;=15,3%,2%))</f>
        <v>147.9</v>
      </c>
      <c r="Z44" s="7">
        <f>Z34*(1+IF(A44&lt;=15,3%,2%))</f>
        <v>663</v>
      </c>
      <c r="AA44" s="7">
        <f t="shared" si="26"/>
        <v>125205.02130418924</v>
      </c>
      <c r="AB44" s="7">
        <f t="shared" si="27"/>
        <v>186319.25753742462</v>
      </c>
    </row>
    <row r="45" spans="1:36" x14ac:dyDescent="0.3">
      <c r="A45" s="8">
        <v>18</v>
      </c>
      <c r="B45" s="8">
        <f>B34</f>
        <v>44</v>
      </c>
      <c r="C45" s="7">
        <f t="shared" si="20"/>
        <v>993711.39771597681</v>
      </c>
      <c r="D45" s="7">
        <f t="shared" si="21"/>
        <v>910902.11457297881</v>
      </c>
      <c r="E45" s="7">
        <f t="shared" si="22"/>
        <v>600367.30278673593</v>
      </c>
      <c r="F45" s="7">
        <f t="shared" si="23"/>
        <v>665969.46215976041</v>
      </c>
      <c r="G45" s="7">
        <f t="shared" si="24"/>
        <v>3170950.2772354521</v>
      </c>
      <c r="H45" s="7">
        <f t="shared" si="5"/>
        <v>253676.02217883617</v>
      </c>
      <c r="I45" s="7">
        <f t="shared" si="6"/>
        <v>270165.28625403118</v>
      </c>
      <c r="J45" s="7">
        <f t="shared" si="7"/>
        <v>318815.74010054255</v>
      </c>
      <c r="K45" s="7">
        <f t="shared" si="8"/>
        <v>279707.17410709936</v>
      </c>
      <c r="L45" s="7">
        <f t="shared" si="9"/>
        <v>253676.02217883617</v>
      </c>
      <c r="M45" s="7">
        <f t="shared" si="10"/>
        <v>317095.02772354521</v>
      </c>
      <c r="N45" s="7">
        <f t="shared" si="11"/>
        <v>190257.01663412713</v>
      </c>
      <c r="O45" s="7">
        <f t="shared" si="12"/>
        <v>110983.25970324084</v>
      </c>
      <c r="P45" s="7">
        <f t="shared" si="13"/>
        <v>190231.96194571053</v>
      </c>
      <c r="Q45" s="7">
        <f t="shared" si="14"/>
        <v>2184607.5108259693</v>
      </c>
      <c r="R45" s="7">
        <f t="shared" si="15"/>
        <v>986342.76640948281</v>
      </c>
      <c r="S45" s="7">
        <f t="shared" si="25"/>
        <v>35000</v>
      </c>
      <c r="T45" s="7">
        <f t="shared" si="16"/>
        <v>951342.76640948281</v>
      </c>
      <c r="U45" s="7">
        <f t="shared" si="19"/>
        <v>8966741.983177267</v>
      </c>
      <c r="V45" s="8">
        <f>V34</f>
        <v>5</v>
      </c>
      <c r="W45" s="8">
        <f>W34</f>
        <v>14</v>
      </c>
      <c r="X45" s="7">
        <f>X34*(1+IF(A45&lt;=15,3%,2%))</f>
        <v>1122</v>
      </c>
      <c r="Y45" s="7">
        <f>Y34*(1+IF(A45&lt;=15,3%,2%))</f>
        <v>147.9</v>
      </c>
      <c r="Z45" s="7">
        <f>Z34*(1+IF(A45&lt;=15,3%,2%))</f>
        <v>663</v>
      </c>
      <c r="AA45" s="7">
        <f t="shared" si="26"/>
        <v>127709.12173027302</v>
      </c>
      <c r="AB45" s="7">
        <f t="shared" si="27"/>
        <v>190231.96194571053</v>
      </c>
    </row>
    <row r="46" spans="1:36" x14ac:dyDescent="0.3">
      <c r="A46" s="8">
        <v>19</v>
      </c>
      <c r="B46" s="8">
        <f>B34</f>
        <v>44</v>
      </c>
      <c r="C46" s="7">
        <f t="shared" si="20"/>
        <v>1013585.6256702964</v>
      </c>
      <c r="D46" s="7">
        <f t="shared" si="21"/>
        <v>929120.15686443844</v>
      </c>
      <c r="E46" s="7">
        <f t="shared" si="22"/>
        <v>612374.6488424706</v>
      </c>
      <c r="F46" s="7">
        <f t="shared" si="23"/>
        <v>679288.8514029556</v>
      </c>
      <c r="G46" s="7">
        <f t="shared" si="24"/>
        <v>3234369.2827801611</v>
      </c>
      <c r="H46" s="7">
        <f t="shared" si="5"/>
        <v>258749.5426224129</v>
      </c>
      <c r="I46" s="7">
        <f t="shared" si="6"/>
        <v>275568.59197911178</v>
      </c>
      <c r="J46" s="7">
        <f t="shared" si="7"/>
        <v>325192.05490255344</v>
      </c>
      <c r="K46" s="7">
        <f t="shared" si="8"/>
        <v>285301.31758924131</v>
      </c>
      <c r="L46" s="7">
        <f t="shared" si="9"/>
        <v>258749.5426224129</v>
      </c>
      <c r="M46" s="7">
        <f t="shared" si="10"/>
        <v>323436.92827801616</v>
      </c>
      <c r="N46" s="7">
        <f t="shared" si="11"/>
        <v>194062.15696680965</v>
      </c>
      <c r="O46" s="7">
        <f t="shared" si="12"/>
        <v>113202.92489730565</v>
      </c>
      <c r="P46" s="7">
        <f t="shared" si="13"/>
        <v>194226.83314657043</v>
      </c>
      <c r="Q46" s="7">
        <f t="shared" si="14"/>
        <v>2228489.8930044342</v>
      </c>
      <c r="R46" s="7">
        <f t="shared" si="15"/>
        <v>1005879.3897757269</v>
      </c>
      <c r="S46" s="7">
        <f t="shared" si="25"/>
        <v>35000</v>
      </c>
      <c r="T46" s="7">
        <f t="shared" si="16"/>
        <v>970879.38977572694</v>
      </c>
      <c r="U46" s="7">
        <f t="shared" si="19"/>
        <v>9937621.372952994</v>
      </c>
      <c r="V46" s="8">
        <f>V34</f>
        <v>5</v>
      </c>
      <c r="W46" s="8">
        <f>W34</f>
        <v>14</v>
      </c>
      <c r="X46" s="7">
        <f>X34*(1+IF(A46&lt;=15,3%,2%))</f>
        <v>1122</v>
      </c>
      <c r="Y46" s="7">
        <f>Y34*(1+IF(A46&lt;=15,3%,2%))</f>
        <v>147.9</v>
      </c>
      <c r="Z46" s="7">
        <f>Z34*(1+IF(A46&lt;=15,3%,2%))</f>
        <v>663</v>
      </c>
      <c r="AA46" s="7">
        <f t="shared" si="26"/>
        <v>130263.30416487849</v>
      </c>
      <c r="AB46" s="7">
        <f t="shared" si="27"/>
        <v>194226.83314657043</v>
      </c>
    </row>
    <row r="47" spans="1:36" x14ac:dyDescent="0.3">
      <c r="A47" s="8">
        <v>20</v>
      </c>
      <c r="B47" s="8">
        <f>B34</f>
        <v>44</v>
      </c>
      <c r="C47" s="7">
        <f t="shared" si="20"/>
        <v>1033857.3381837023</v>
      </c>
      <c r="D47" s="7">
        <f t="shared" si="21"/>
        <v>947702.56000172719</v>
      </c>
      <c r="E47" s="7">
        <f t="shared" si="22"/>
        <v>624622.14181932004</v>
      </c>
      <c r="F47" s="7">
        <f t="shared" si="23"/>
        <v>692874.62843101472</v>
      </c>
      <c r="G47" s="7">
        <f t="shared" si="24"/>
        <v>3299056.6684357645</v>
      </c>
      <c r="H47" s="7">
        <f t="shared" si="5"/>
        <v>263924.53347486118</v>
      </c>
      <c r="I47" s="7">
        <f t="shared" si="6"/>
        <v>281079.963818694</v>
      </c>
      <c r="J47" s="7">
        <f t="shared" si="7"/>
        <v>331695.89600060449</v>
      </c>
      <c r="K47" s="7">
        <f t="shared" si="8"/>
        <v>291007.34394102619</v>
      </c>
      <c r="L47" s="7">
        <f t="shared" si="9"/>
        <v>263924.53347486118</v>
      </c>
      <c r="M47" s="7">
        <f t="shared" si="10"/>
        <v>329905.66684357647</v>
      </c>
      <c r="N47" s="7">
        <f t="shared" si="11"/>
        <v>197943.40010614585</v>
      </c>
      <c r="O47" s="7">
        <f t="shared" si="12"/>
        <v>115466.98339525177</v>
      </c>
      <c r="P47" s="7">
        <f t="shared" si="13"/>
        <v>198305.59664264839</v>
      </c>
      <c r="Q47" s="7">
        <f t="shared" si="14"/>
        <v>2273253.9176976695</v>
      </c>
      <c r="R47" s="7">
        <f t="shared" si="15"/>
        <v>1025802.750738095</v>
      </c>
      <c r="S47" s="7">
        <f t="shared" si="25"/>
        <v>230000</v>
      </c>
      <c r="T47" s="7">
        <f t="shared" si="16"/>
        <v>795802.75073809503</v>
      </c>
      <c r="U47" s="7">
        <f t="shared" si="19"/>
        <v>10733424.123691089</v>
      </c>
      <c r="V47" s="8">
        <f>V34</f>
        <v>5</v>
      </c>
      <c r="W47" s="8">
        <f>W34</f>
        <v>14</v>
      </c>
      <c r="X47" s="7">
        <f>X34*(1+IF(A47&lt;=15,3%,2%))</f>
        <v>1122</v>
      </c>
      <c r="Y47" s="7">
        <f>Y34*(1+IF(A47&lt;=15,3%,2%))</f>
        <v>147.9</v>
      </c>
      <c r="Z47" s="7">
        <f>Z34*(1+IF(A47&lt;=15,3%,2%))</f>
        <v>663</v>
      </c>
      <c r="AA47" s="7">
        <f t="shared" si="26"/>
        <v>132868.57024817605</v>
      </c>
      <c r="AB47" s="7">
        <f t="shared" si="27"/>
        <v>198305.59664264839</v>
      </c>
    </row>
    <row r="48" spans="1:36" x14ac:dyDescent="0.3">
      <c r="A48" s="8">
        <v>21</v>
      </c>
      <c r="B48" s="8">
        <f>B34</f>
        <v>44</v>
      </c>
      <c r="C48" s="7">
        <f t="shared" si="20"/>
        <v>1054534.4849473764</v>
      </c>
      <c r="D48" s="7">
        <f t="shared" si="21"/>
        <v>966656.61120176176</v>
      </c>
      <c r="E48" s="7">
        <f t="shared" si="22"/>
        <v>637114.58465570642</v>
      </c>
      <c r="F48" s="7">
        <f t="shared" si="23"/>
        <v>706732.12099963496</v>
      </c>
      <c r="G48" s="7">
        <f t="shared" si="24"/>
        <v>3365037.8018044797</v>
      </c>
      <c r="H48" s="7">
        <f t="shared" si="5"/>
        <v>269203.02414435835</v>
      </c>
      <c r="I48" s="7">
        <f t="shared" si="6"/>
        <v>286701.56309506792</v>
      </c>
      <c r="J48" s="7">
        <f t="shared" si="7"/>
        <v>338329.81392061658</v>
      </c>
      <c r="K48" s="7">
        <f t="shared" si="8"/>
        <v>296827.49081984669</v>
      </c>
      <c r="L48" s="7">
        <f t="shared" si="9"/>
        <v>269203.02414435835</v>
      </c>
      <c r="M48" s="7">
        <f t="shared" si="10"/>
        <v>336503.78018044797</v>
      </c>
      <c r="N48" s="7">
        <f t="shared" si="11"/>
        <v>201902.26810826876</v>
      </c>
      <c r="O48" s="7">
        <f t="shared" si="12"/>
        <v>117776.3230631568</v>
      </c>
      <c r="P48" s="7">
        <f t="shared" si="13"/>
        <v>202470.014172144</v>
      </c>
      <c r="Q48" s="7">
        <f t="shared" si="14"/>
        <v>2318917.3016482657</v>
      </c>
      <c r="R48" s="7">
        <f t="shared" si="15"/>
        <v>1046120.500156214</v>
      </c>
      <c r="S48" s="7">
        <f t="shared" si="25"/>
        <v>35000</v>
      </c>
      <c r="T48" s="7">
        <f t="shared" si="16"/>
        <v>1011120.500156214</v>
      </c>
      <c r="U48" s="7">
        <f t="shared" si="19"/>
        <v>11744544.623847304</v>
      </c>
      <c r="V48" s="8">
        <f>V34</f>
        <v>5</v>
      </c>
      <c r="W48" s="8">
        <f>W34</f>
        <v>14</v>
      </c>
      <c r="X48" s="7">
        <f>X34*(1+IF(A48&lt;=15,3%,2%))</f>
        <v>1122</v>
      </c>
      <c r="Y48" s="7">
        <f>Y34*(1+IF(A48&lt;=15,3%,2%))</f>
        <v>147.9</v>
      </c>
      <c r="Z48" s="7">
        <f>Z34*(1+IF(A48&lt;=15,3%,2%))</f>
        <v>663</v>
      </c>
      <c r="AA48" s="7">
        <f t="shared" si="26"/>
        <v>135525.94165313957</v>
      </c>
      <c r="AB48" s="7">
        <f t="shared" si="27"/>
        <v>202470.014172144</v>
      </c>
    </row>
    <row r="49" spans="1:28" x14ac:dyDescent="0.3">
      <c r="A49" s="8">
        <v>22</v>
      </c>
      <c r="B49" s="8">
        <f>B34</f>
        <v>44</v>
      </c>
      <c r="C49" s="7">
        <f t="shared" si="20"/>
        <v>1075625.174646324</v>
      </c>
      <c r="D49" s="7">
        <f t="shared" si="21"/>
        <v>985989.74342579697</v>
      </c>
      <c r="E49" s="7">
        <f t="shared" si="22"/>
        <v>649856.87634882063</v>
      </c>
      <c r="F49" s="7">
        <f t="shared" si="23"/>
        <v>720866.76341962768</v>
      </c>
      <c r="G49" s="7">
        <f t="shared" si="24"/>
        <v>3432338.5578405694</v>
      </c>
      <c r="H49" s="7">
        <f t="shared" si="5"/>
        <v>274587.08462724555</v>
      </c>
      <c r="I49" s="7">
        <f t="shared" si="6"/>
        <v>292435.59435696929</v>
      </c>
      <c r="J49" s="7">
        <f t="shared" si="7"/>
        <v>345096.41019902891</v>
      </c>
      <c r="K49" s="7">
        <f t="shared" si="8"/>
        <v>302764.04063624359</v>
      </c>
      <c r="L49" s="7">
        <f t="shared" si="9"/>
        <v>274587.08462724555</v>
      </c>
      <c r="M49" s="7">
        <f t="shared" si="10"/>
        <v>343233.85578405694</v>
      </c>
      <c r="N49" s="7">
        <f t="shared" si="11"/>
        <v>205940.31347043416</v>
      </c>
      <c r="O49" s="7">
        <f t="shared" si="12"/>
        <v>120131.84952441994</v>
      </c>
      <c r="P49" s="7">
        <f t="shared" si="13"/>
        <v>206721.88446975901</v>
      </c>
      <c r="Q49" s="7">
        <f t="shared" si="14"/>
        <v>2365498.1176954028</v>
      </c>
      <c r="R49" s="7">
        <f t="shared" si="15"/>
        <v>1066840.4401451666</v>
      </c>
      <c r="S49" s="7">
        <f t="shared" si="25"/>
        <v>35000</v>
      </c>
      <c r="T49" s="7">
        <f t="shared" si="16"/>
        <v>1031840.4401451666</v>
      </c>
      <c r="U49" s="7">
        <f t="shared" si="19"/>
        <v>12776385.063992471</v>
      </c>
      <c r="V49" s="8">
        <f>V34</f>
        <v>5</v>
      </c>
      <c r="W49" s="8">
        <f>W34</f>
        <v>14</v>
      </c>
      <c r="X49" s="7">
        <f>X34*(1+IF(A49&lt;=15,3%,2%))</f>
        <v>1122</v>
      </c>
      <c r="Y49" s="7">
        <f>Y34*(1+IF(A49&lt;=15,3%,2%))</f>
        <v>147.9</v>
      </c>
      <c r="Z49" s="7">
        <f>Z34*(1+IF(A49&lt;=15,3%,2%))</f>
        <v>663</v>
      </c>
      <c r="AA49" s="7">
        <f t="shared" si="26"/>
        <v>138236.46048620236</v>
      </c>
      <c r="AB49" s="7">
        <f t="shared" si="27"/>
        <v>206721.88446975901</v>
      </c>
    </row>
    <row r="50" spans="1:28" x14ac:dyDescent="0.3">
      <c r="A50" s="8">
        <v>23</v>
      </c>
      <c r="B50" s="8">
        <f>B34</f>
        <v>44</v>
      </c>
      <c r="C50" s="7">
        <f t="shared" si="20"/>
        <v>1097137.6781392505</v>
      </c>
      <c r="D50" s="7">
        <f t="shared" si="21"/>
        <v>1005709.538294313</v>
      </c>
      <c r="E50" s="7">
        <f t="shared" si="22"/>
        <v>662854.01387579704</v>
      </c>
      <c r="F50" s="7">
        <f t="shared" si="23"/>
        <v>735284.09868802025</v>
      </c>
      <c r="G50" s="7">
        <f t="shared" si="24"/>
        <v>3500985.328997381</v>
      </c>
      <c r="H50" s="7">
        <f t="shared" si="5"/>
        <v>280078.8263197905</v>
      </c>
      <c r="I50" s="7">
        <f t="shared" si="6"/>
        <v>298284.30624410865</v>
      </c>
      <c r="J50" s="7">
        <f t="shared" si="7"/>
        <v>351998.33840300952</v>
      </c>
      <c r="K50" s="7">
        <f t="shared" si="8"/>
        <v>308819.32144896849</v>
      </c>
      <c r="L50" s="7">
        <f t="shared" si="9"/>
        <v>280078.8263197905</v>
      </c>
      <c r="M50" s="7">
        <f t="shared" si="10"/>
        <v>350098.53289973811</v>
      </c>
      <c r="N50" s="7">
        <f t="shared" si="11"/>
        <v>210059.11973984286</v>
      </c>
      <c r="O50" s="7">
        <f t="shared" si="12"/>
        <v>122534.48651490835</v>
      </c>
      <c r="P50" s="7">
        <f t="shared" si="13"/>
        <v>211063.04404362393</v>
      </c>
      <c r="Q50" s="7">
        <f t="shared" si="14"/>
        <v>2413014.8019337808</v>
      </c>
      <c r="R50" s="7">
        <f t="shared" si="15"/>
        <v>1087970.5270636003</v>
      </c>
      <c r="S50" s="7">
        <f t="shared" si="25"/>
        <v>35000</v>
      </c>
      <c r="T50" s="7">
        <f t="shared" si="16"/>
        <v>1052970.5270636003</v>
      </c>
      <c r="U50" s="7">
        <f t="shared" si="19"/>
        <v>13829355.591056071</v>
      </c>
      <c r="V50" s="8">
        <f>V34</f>
        <v>5</v>
      </c>
      <c r="W50" s="8">
        <f>W34</f>
        <v>14</v>
      </c>
      <c r="X50" s="7">
        <f>X34*(1+IF(A50&lt;=15,3%,2%))</f>
        <v>1122</v>
      </c>
      <c r="Y50" s="7">
        <f>Y34*(1+IF(A50&lt;=15,3%,2%))</f>
        <v>147.9</v>
      </c>
      <c r="Z50" s="7">
        <f>Z34*(1+IF(A50&lt;=15,3%,2%))</f>
        <v>663</v>
      </c>
      <c r="AA50" s="7">
        <f t="shared" si="26"/>
        <v>141001.18969592641</v>
      </c>
      <c r="AB50" s="7">
        <f t="shared" si="27"/>
        <v>211063.04404362393</v>
      </c>
    </row>
    <row r="51" spans="1:28" x14ac:dyDescent="0.3">
      <c r="A51" s="8">
        <v>24</v>
      </c>
      <c r="B51" s="8">
        <f>B34</f>
        <v>44</v>
      </c>
      <c r="C51" s="7">
        <f t="shared" si="20"/>
        <v>1119080.4317020355</v>
      </c>
      <c r="D51" s="7">
        <f t="shared" si="21"/>
        <v>1025823.7290601993</v>
      </c>
      <c r="E51" s="7">
        <f t="shared" si="22"/>
        <v>676111.09415331308</v>
      </c>
      <c r="F51" s="7">
        <f t="shared" si="23"/>
        <v>749989.78066178074</v>
      </c>
      <c r="G51" s="7">
        <f t="shared" si="24"/>
        <v>3571005.0355773289</v>
      </c>
      <c r="H51" s="7">
        <f t="shared" si="5"/>
        <v>285680.40284618631</v>
      </c>
      <c r="I51" s="7">
        <f t="shared" si="6"/>
        <v>304249.9923689909</v>
      </c>
      <c r="J51" s="7">
        <f t="shared" si="7"/>
        <v>359038.30517106975</v>
      </c>
      <c r="K51" s="7">
        <f t="shared" si="8"/>
        <v>314995.70787794789</v>
      </c>
      <c r="L51" s="7">
        <f t="shared" si="9"/>
        <v>285680.40284618631</v>
      </c>
      <c r="M51" s="7">
        <f t="shared" si="10"/>
        <v>357100.50355773291</v>
      </c>
      <c r="N51" s="7">
        <f t="shared" si="11"/>
        <v>214260.30213463973</v>
      </c>
      <c r="O51" s="7">
        <f t="shared" si="12"/>
        <v>124985.17624520652</v>
      </c>
      <c r="P51" s="7">
        <f t="shared" si="13"/>
        <v>215495.36796854</v>
      </c>
      <c r="Q51" s="7">
        <f t="shared" si="14"/>
        <v>2461486.1610165001</v>
      </c>
      <c r="R51" s="7">
        <f t="shared" si="15"/>
        <v>1109518.8745608288</v>
      </c>
      <c r="S51" s="7">
        <f t="shared" si="25"/>
        <v>35000</v>
      </c>
      <c r="T51" s="7">
        <f t="shared" si="16"/>
        <v>1074518.8745608288</v>
      </c>
      <c r="U51" s="7">
        <f t="shared" si="19"/>
        <v>14903874.4656169</v>
      </c>
      <c r="V51" s="8">
        <f>V34</f>
        <v>5</v>
      </c>
      <c r="W51" s="8">
        <f>W34</f>
        <v>14</v>
      </c>
      <c r="X51" s="7">
        <f>X34*(1+IF(A51&lt;=15,3%,2%))</f>
        <v>1122</v>
      </c>
      <c r="Y51" s="7">
        <f>Y34*(1+IF(A51&lt;=15,3%,2%))</f>
        <v>147.9</v>
      </c>
      <c r="Z51" s="7">
        <f>Z34*(1+IF(A51&lt;=15,3%,2%))</f>
        <v>663</v>
      </c>
      <c r="AA51" s="7">
        <f t="shared" si="26"/>
        <v>143821.21348984493</v>
      </c>
      <c r="AB51" s="7">
        <f t="shared" si="27"/>
        <v>215495.36796854</v>
      </c>
    </row>
    <row r="52" spans="1:28" x14ac:dyDescent="0.3">
      <c r="A52" s="8">
        <v>25</v>
      </c>
      <c r="B52" s="8">
        <f>B34</f>
        <v>44</v>
      </c>
      <c r="C52" s="7">
        <f t="shared" si="20"/>
        <v>1141462.0403360762</v>
      </c>
      <c r="D52" s="7">
        <f t="shared" si="21"/>
        <v>1046340.2036414034</v>
      </c>
      <c r="E52" s="7">
        <f t="shared" si="22"/>
        <v>689633.31603637931</v>
      </c>
      <c r="F52" s="7">
        <f t="shared" si="23"/>
        <v>764989.57627501641</v>
      </c>
      <c r="G52" s="7">
        <f t="shared" si="24"/>
        <v>3642425.1362888757</v>
      </c>
      <c r="H52" s="7">
        <f t="shared" si="5"/>
        <v>291394.01090311009</v>
      </c>
      <c r="I52" s="7">
        <f t="shared" si="6"/>
        <v>310334.99221637071</v>
      </c>
      <c r="J52" s="7">
        <f t="shared" si="7"/>
        <v>366219.07127449114</v>
      </c>
      <c r="K52" s="7">
        <f t="shared" si="8"/>
        <v>321295.62203550688</v>
      </c>
      <c r="L52" s="7">
        <f t="shared" si="9"/>
        <v>291394.01090311009</v>
      </c>
      <c r="M52" s="7">
        <f t="shared" si="10"/>
        <v>364242.51362888759</v>
      </c>
      <c r="N52" s="7">
        <f t="shared" si="11"/>
        <v>218545.50817733252</v>
      </c>
      <c r="O52" s="7">
        <f t="shared" si="12"/>
        <v>127484.87977011067</v>
      </c>
      <c r="P52" s="7">
        <f t="shared" si="13"/>
        <v>220020.77069587933</v>
      </c>
      <c r="Q52" s="7">
        <f t="shared" si="14"/>
        <v>2510931.3796047992</v>
      </c>
      <c r="R52" s="7">
        <f t="shared" si="15"/>
        <v>1131493.7566840765</v>
      </c>
      <c r="S52" s="7">
        <f t="shared" si="25"/>
        <v>110000</v>
      </c>
      <c r="T52" s="7">
        <f t="shared" si="16"/>
        <v>1021493.7566840765</v>
      </c>
      <c r="U52" s="7">
        <f t="shared" si="19"/>
        <v>15925368.222300977</v>
      </c>
      <c r="V52" s="8">
        <f>V34</f>
        <v>5</v>
      </c>
      <c r="W52" s="8">
        <f>W34</f>
        <v>14</v>
      </c>
      <c r="X52" s="7">
        <f>X34*(1+IF(A52&lt;=15,3%,2%))</f>
        <v>1122</v>
      </c>
      <c r="Y52" s="7">
        <f>Y34*(1+IF(A52&lt;=15,3%,2%))</f>
        <v>147.9</v>
      </c>
      <c r="Z52" s="7">
        <f>Z34*(1+IF(A52&lt;=15,3%,2%))</f>
        <v>663</v>
      </c>
      <c r="AA52" s="7">
        <f t="shared" si="26"/>
        <v>146697.63775964183</v>
      </c>
      <c r="AB52" s="7">
        <f t="shared" si="27"/>
        <v>220020.77069587933</v>
      </c>
    </row>
    <row r="53" spans="1:28" x14ac:dyDescent="0.3">
      <c r="A53" s="8">
        <v>26</v>
      </c>
      <c r="B53" s="8">
        <f>B34</f>
        <v>44</v>
      </c>
      <c r="C53" s="7">
        <f t="shared" si="20"/>
        <v>1164291.2811427978</v>
      </c>
      <c r="D53" s="7">
        <f t="shared" si="21"/>
        <v>1067267.0077142315</v>
      </c>
      <c r="E53" s="7">
        <f t="shared" si="22"/>
        <v>703425.98235710699</v>
      </c>
      <c r="F53" s="7">
        <f t="shared" si="23"/>
        <v>780289.36780051677</v>
      </c>
      <c r="G53" s="7">
        <f t="shared" si="24"/>
        <v>3715273.6390146534</v>
      </c>
      <c r="H53" s="7">
        <f t="shared" si="5"/>
        <v>297221.89112117229</v>
      </c>
      <c r="I53" s="7">
        <f t="shared" si="6"/>
        <v>316541.69206069817</v>
      </c>
      <c r="J53" s="7">
        <f t="shared" si="7"/>
        <v>373543.45269998099</v>
      </c>
      <c r="K53" s="7">
        <f t="shared" si="8"/>
        <v>327721.53447621706</v>
      </c>
      <c r="L53" s="7">
        <f t="shared" si="9"/>
        <v>297221.89112117229</v>
      </c>
      <c r="M53" s="7">
        <f t="shared" si="10"/>
        <v>371527.36390146537</v>
      </c>
      <c r="N53" s="7">
        <f t="shared" si="11"/>
        <v>222916.4183408792</v>
      </c>
      <c r="O53" s="7">
        <f t="shared" si="12"/>
        <v>130034.57736551289</v>
      </c>
      <c r="P53" s="7">
        <f t="shared" si="13"/>
        <v>224641.20688049277</v>
      </c>
      <c r="Q53" s="7">
        <f t="shared" si="14"/>
        <v>2561370.0279675908</v>
      </c>
      <c r="R53" s="7">
        <f t="shared" si="15"/>
        <v>1153903.6110470626</v>
      </c>
      <c r="S53" s="7">
        <f t="shared" si="25"/>
        <v>35000</v>
      </c>
      <c r="T53" s="7">
        <f t="shared" si="16"/>
        <v>1118903.6110470626</v>
      </c>
      <c r="U53" s="7">
        <f t="shared" si="19"/>
        <v>17044271.83334804</v>
      </c>
      <c r="V53" s="8">
        <f>V34</f>
        <v>5</v>
      </c>
      <c r="W53" s="8">
        <f>W34</f>
        <v>14</v>
      </c>
      <c r="X53" s="7">
        <f>X34*(1+IF(A53&lt;=15,3%,2%))</f>
        <v>1122</v>
      </c>
      <c r="Y53" s="7">
        <f>Y34*(1+IF(A53&lt;=15,3%,2%))</f>
        <v>147.9</v>
      </c>
      <c r="Z53" s="7">
        <f>Z34*(1+IF(A53&lt;=15,3%,2%))</f>
        <v>663</v>
      </c>
      <c r="AA53" s="7">
        <f t="shared" si="26"/>
        <v>149631.59051483468</v>
      </c>
      <c r="AB53" s="7">
        <f t="shared" si="27"/>
        <v>224641.20688049277</v>
      </c>
    </row>
    <row r="54" spans="1:28" x14ac:dyDescent="0.3">
      <c r="A54" s="8">
        <v>27</v>
      </c>
      <c r="B54" s="8">
        <f>B34</f>
        <v>44</v>
      </c>
      <c r="C54" s="7">
        <f t="shared" si="20"/>
        <v>1187577.1067656537</v>
      </c>
      <c r="D54" s="7">
        <f t="shared" si="21"/>
        <v>1088612.3478685161</v>
      </c>
      <c r="E54" s="7">
        <f t="shared" si="22"/>
        <v>717494.50200424914</v>
      </c>
      <c r="F54" s="7">
        <f t="shared" si="23"/>
        <v>795895.15515652718</v>
      </c>
      <c r="G54" s="7">
        <f t="shared" si="24"/>
        <v>3789579.1117949467</v>
      </c>
      <c r="H54" s="7">
        <f t="shared" si="5"/>
        <v>303166.32894359576</v>
      </c>
      <c r="I54" s="7">
        <f t="shared" si="6"/>
        <v>322872.52590191213</v>
      </c>
      <c r="J54" s="7">
        <f t="shared" si="7"/>
        <v>381014.32175398059</v>
      </c>
      <c r="K54" s="7">
        <f t="shared" si="8"/>
        <v>334275.96516574139</v>
      </c>
      <c r="L54" s="7">
        <f t="shared" si="9"/>
        <v>303166.32894359576</v>
      </c>
      <c r="M54" s="7">
        <f t="shared" si="10"/>
        <v>378957.91117949469</v>
      </c>
      <c r="N54" s="7">
        <f t="shared" si="11"/>
        <v>227374.74670769679</v>
      </c>
      <c r="O54" s="7">
        <f t="shared" si="12"/>
        <v>132635.26891282314</v>
      </c>
      <c r="P54" s="7">
        <f t="shared" si="13"/>
        <v>229358.67222498311</v>
      </c>
      <c r="Q54" s="7">
        <f t="shared" si="14"/>
        <v>2612822.0697338232</v>
      </c>
      <c r="R54" s="7">
        <f t="shared" si="15"/>
        <v>1176757.0420611235</v>
      </c>
      <c r="S54" s="7">
        <f t="shared" si="25"/>
        <v>35000</v>
      </c>
      <c r="T54" s="7">
        <f t="shared" si="16"/>
        <v>1141757.0420611235</v>
      </c>
      <c r="U54" s="7">
        <f t="shared" si="19"/>
        <v>18186028.875409164</v>
      </c>
      <c r="V54" s="8">
        <f>V34</f>
        <v>5</v>
      </c>
      <c r="W54" s="8">
        <f>W34</f>
        <v>14</v>
      </c>
      <c r="X54" s="7">
        <f>X34*(1+IF(A54&lt;=15,3%,2%))</f>
        <v>1122</v>
      </c>
      <c r="Y54" s="7">
        <f>Y34*(1+IF(A54&lt;=15,3%,2%))</f>
        <v>147.9</v>
      </c>
      <c r="Z54" s="7">
        <f>Z34*(1+IF(A54&lt;=15,3%,2%))</f>
        <v>663</v>
      </c>
      <c r="AA54" s="7">
        <f t="shared" si="26"/>
        <v>152624.22232513138</v>
      </c>
      <c r="AB54" s="7">
        <f t="shared" si="27"/>
        <v>229358.67222498311</v>
      </c>
    </row>
    <row r="55" spans="1:28" x14ac:dyDescent="0.3">
      <c r="A55" s="8">
        <v>28</v>
      </c>
      <c r="B55" s="8">
        <f>B34</f>
        <v>44</v>
      </c>
      <c r="C55" s="7">
        <f t="shared" si="20"/>
        <v>1211328.6489009669</v>
      </c>
      <c r="D55" s="7">
        <f t="shared" si="21"/>
        <v>1110384.5948258864</v>
      </c>
      <c r="E55" s="7">
        <f t="shared" si="22"/>
        <v>731844.39204433409</v>
      </c>
      <c r="F55" s="7">
        <f t="shared" si="23"/>
        <v>811813.0582596577</v>
      </c>
      <c r="G55" s="7">
        <f t="shared" si="24"/>
        <v>3865370.6940308455</v>
      </c>
      <c r="H55" s="7">
        <f t="shared" si="5"/>
        <v>309229.65552246763</v>
      </c>
      <c r="I55" s="7">
        <f t="shared" si="6"/>
        <v>329329.97641995037</v>
      </c>
      <c r="J55" s="7">
        <f t="shared" si="7"/>
        <v>388634.60818906024</v>
      </c>
      <c r="K55" s="7">
        <f t="shared" si="8"/>
        <v>340961.48446905625</v>
      </c>
      <c r="L55" s="7">
        <f t="shared" si="9"/>
        <v>309229.65552246763</v>
      </c>
      <c r="M55" s="7">
        <f t="shared" si="10"/>
        <v>386537.06940308458</v>
      </c>
      <c r="N55" s="7">
        <f t="shared" si="11"/>
        <v>231922.24164185073</v>
      </c>
      <c r="O55" s="7">
        <f t="shared" si="12"/>
        <v>135287.97429107962</v>
      </c>
      <c r="P55" s="7">
        <f t="shared" si="13"/>
        <v>234175.20434170772</v>
      </c>
      <c r="Q55" s="7">
        <f t="shared" si="14"/>
        <v>2665307.8698007246</v>
      </c>
      <c r="R55" s="7">
        <f t="shared" si="15"/>
        <v>1200062.824230121</v>
      </c>
      <c r="S55" s="7">
        <f t="shared" si="25"/>
        <v>35000</v>
      </c>
      <c r="T55" s="7">
        <f t="shared" si="16"/>
        <v>1165062.824230121</v>
      </c>
      <c r="U55" s="7">
        <f t="shared" si="19"/>
        <v>19351091.699639283</v>
      </c>
      <c r="V55" s="8">
        <f>V34</f>
        <v>5</v>
      </c>
      <c r="W55" s="8">
        <f>W34</f>
        <v>14</v>
      </c>
      <c r="X55" s="7">
        <f>X34*(1+IF(A55&lt;=15,3%,2%))</f>
        <v>1122</v>
      </c>
      <c r="Y55" s="7">
        <f>Y34*(1+IF(A55&lt;=15,3%,2%))</f>
        <v>147.9</v>
      </c>
      <c r="Z55" s="7">
        <f>Z34*(1+IF(A55&lt;=15,3%,2%))</f>
        <v>663</v>
      </c>
      <c r="AA55" s="7">
        <f t="shared" si="26"/>
        <v>155676.70677163402</v>
      </c>
      <c r="AB55" s="7">
        <f t="shared" si="27"/>
        <v>234175.20434170772</v>
      </c>
    </row>
    <row r="56" spans="1:28" x14ac:dyDescent="0.3">
      <c r="A56" s="8">
        <v>29</v>
      </c>
      <c r="B56" s="8">
        <f>B34</f>
        <v>44</v>
      </c>
      <c r="C56" s="7">
        <f t="shared" si="20"/>
        <v>1235555.2218789861</v>
      </c>
      <c r="D56" s="7">
        <f t="shared" si="21"/>
        <v>1132592.2867224042</v>
      </c>
      <c r="E56" s="7">
        <f t="shared" si="22"/>
        <v>746481.27988522081</v>
      </c>
      <c r="F56" s="7">
        <f t="shared" si="23"/>
        <v>828049.31942485075</v>
      </c>
      <c r="G56" s="7">
        <f t="shared" si="24"/>
        <v>3942678.1079114624</v>
      </c>
      <c r="H56" s="7">
        <f t="shared" si="5"/>
        <v>315414.24863291701</v>
      </c>
      <c r="I56" s="7">
        <f t="shared" si="6"/>
        <v>335916.57594834937</v>
      </c>
      <c r="J56" s="7">
        <f t="shared" si="7"/>
        <v>396407.30035284144</v>
      </c>
      <c r="K56" s="7">
        <f t="shared" si="8"/>
        <v>347780.71415843727</v>
      </c>
      <c r="L56" s="7">
        <f t="shared" si="9"/>
        <v>315414.24863291701</v>
      </c>
      <c r="M56" s="7">
        <f t="shared" si="10"/>
        <v>394267.81079114624</v>
      </c>
      <c r="N56" s="7">
        <f t="shared" si="11"/>
        <v>236560.68647468774</v>
      </c>
      <c r="O56" s="7">
        <f t="shared" si="12"/>
        <v>137993.73377690121</v>
      </c>
      <c r="P56" s="7">
        <f t="shared" si="13"/>
        <v>239092.88363288358</v>
      </c>
      <c r="Q56" s="7">
        <f t="shared" si="14"/>
        <v>2718848.2024010811</v>
      </c>
      <c r="R56" s="7">
        <f t="shared" si="15"/>
        <v>1223829.9055103813</v>
      </c>
      <c r="S56" s="7">
        <f t="shared" si="25"/>
        <v>35000</v>
      </c>
      <c r="T56" s="7">
        <f t="shared" si="16"/>
        <v>1188829.9055103813</v>
      </c>
      <c r="U56" s="7">
        <f t="shared" si="19"/>
        <v>20539921.605149664</v>
      </c>
      <c r="V56" s="8">
        <f>V34</f>
        <v>5</v>
      </c>
      <c r="W56" s="8">
        <f>W34</f>
        <v>14</v>
      </c>
      <c r="X56" s="7">
        <f>X34*(1+IF(A56&lt;=15,3%,2%))</f>
        <v>1122</v>
      </c>
      <c r="Y56" s="7">
        <f>Y34*(1+IF(A56&lt;=15,3%,2%))</f>
        <v>147.9</v>
      </c>
      <c r="Z56" s="7">
        <f>Z34*(1+IF(A56&lt;=15,3%,2%))</f>
        <v>663</v>
      </c>
      <c r="AA56" s="7">
        <f t="shared" si="26"/>
        <v>158790.24090706671</v>
      </c>
      <c r="AB56" s="7">
        <f t="shared" si="27"/>
        <v>239092.88363288358</v>
      </c>
    </row>
    <row r="57" spans="1:28" x14ac:dyDescent="0.3">
      <c r="A57" s="8">
        <v>30</v>
      </c>
      <c r="B57" s="8">
        <f>B34</f>
        <v>44</v>
      </c>
      <c r="C57" s="7">
        <f t="shared" si="20"/>
        <v>1260266.326316566</v>
      </c>
      <c r="D57" s="7">
        <f t="shared" si="21"/>
        <v>1155244.1324568524</v>
      </c>
      <c r="E57" s="7">
        <f t="shared" si="22"/>
        <v>761410.90548292524</v>
      </c>
      <c r="F57" s="7">
        <f t="shared" si="23"/>
        <v>844610.3058133478</v>
      </c>
      <c r="G57" s="7">
        <f t="shared" si="24"/>
        <v>4021531.6700696917</v>
      </c>
      <c r="H57" s="7">
        <f t="shared" si="5"/>
        <v>321722.53360557533</v>
      </c>
      <c r="I57" s="7">
        <f t="shared" si="6"/>
        <v>342634.90746731637</v>
      </c>
      <c r="J57" s="7">
        <f t="shared" si="7"/>
        <v>404335.44635989831</v>
      </c>
      <c r="K57" s="7">
        <f t="shared" si="8"/>
        <v>354736.32844160608</v>
      </c>
      <c r="L57" s="7">
        <f t="shared" si="9"/>
        <v>321722.53360557533</v>
      </c>
      <c r="M57" s="7">
        <f t="shared" si="10"/>
        <v>402153.16700696922</v>
      </c>
      <c r="N57" s="7">
        <f t="shared" si="11"/>
        <v>241291.9002041815</v>
      </c>
      <c r="O57" s="7">
        <f t="shared" si="12"/>
        <v>140753.60845243922</v>
      </c>
      <c r="P57" s="7">
        <f t="shared" si="13"/>
        <v>244113.83418917411</v>
      </c>
      <c r="Q57" s="7">
        <f t="shared" si="14"/>
        <v>2773464.2593327356</v>
      </c>
      <c r="R57" s="7">
        <f t="shared" si="15"/>
        <v>1248067.4107369562</v>
      </c>
      <c r="S57" s="7">
        <f t="shared" si="25"/>
        <v>230000</v>
      </c>
      <c r="T57" s="7">
        <f t="shared" si="16"/>
        <v>1018067.4107369562</v>
      </c>
      <c r="U57" s="7">
        <f t="shared" si="19"/>
        <v>21557989.01588662</v>
      </c>
      <c r="V57" s="8">
        <f>V34</f>
        <v>5</v>
      </c>
      <c r="W57" s="8">
        <f>W34</f>
        <v>14</v>
      </c>
      <c r="X57" s="7">
        <f>X34*(1+IF(A57&lt;=15,3%,2%))</f>
        <v>1122</v>
      </c>
      <c r="Y57" s="7">
        <f>Y34*(1+IF(A57&lt;=15,3%,2%))</f>
        <v>147.9</v>
      </c>
      <c r="Z57" s="7">
        <f>Z34*(1+IF(A57&lt;=15,3%,2%))</f>
        <v>663</v>
      </c>
      <c r="AA57" s="7">
        <f t="shared" si="26"/>
        <v>161966.04572520804</v>
      </c>
      <c r="AB57" s="7">
        <f t="shared" si="27"/>
        <v>244113.83418917411</v>
      </c>
    </row>
    <row r="58" spans="1:28" x14ac:dyDescent="0.3">
      <c r="A58" s="8">
        <v>31</v>
      </c>
      <c r="B58" s="8">
        <f>B34</f>
        <v>44</v>
      </c>
      <c r="C58" s="7">
        <f t="shared" si="20"/>
        <v>1285471.6528428972</v>
      </c>
      <c r="D58" s="7">
        <f t="shared" si="21"/>
        <v>1178349.0151059893</v>
      </c>
      <c r="E58" s="7">
        <f t="shared" si="22"/>
        <v>776639.1235925837</v>
      </c>
      <c r="F58" s="7">
        <f t="shared" si="23"/>
        <v>861502.51192961482</v>
      </c>
      <c r="G58" s="7">
        <f t="shared" si="24"/>
        <v>4101962.3034710856</v>
      </c>
      <c r="H58" s="7">
        <f t="shared" si="5"/>
        <v>328156.98427768686</v>
      </c>
      <c r="I58" s="7">
        <f t="shared" si="6"/>
        <v>349487.60561666265</v>
      </c>
      <c r="J58" s="7">
        <f t="shared" si="7"/>
        <v>412422.15528709622</v>
      </c>
      <c r="K58" s="7">
        <f t="shared" si="8"/>
        <v>361831.0550104382</v>
      </c>
      <c r="L58" s="7">
        <f t="shared" si="9"/>
        <v>328156.98427768686</v>
      </c>
      <c r="M58" s="7">
        <f t="shared" si="10"/>
        <v>410196.23034710856</v>
      </c>
      <c r="N58" s="7">
        <f t="shared" si="11"/>
        <v>246117.73820826513</v>
      </c>
      <c r="O58" s="7">
        <f t="shared" si="12"/>
        <v>143568.68062148802</v>
      </c>
      <c r="P58" s="7">
        <f t="shared" si="13"/>
        <v>249240.22470714676</v>
      </c>
      <c r="Q58" s="7">
        <f t="shared" si="14"/>
        <v>2829177.6583535788</v>
      </c>
      <c r="R58" s="7">
        <f t="shared" si="15"/>
        <v>1272784.6451175069</v>
      </c>
      <c r="S58" s="7">
        <f t="shared" si="25"/>
        <v>35000</v>
      </c>
      <c r="T58" s="7">
        <f t="shared" si="16"/>
        <v>1237784.6451175069</v>
      </c>
      <c r="U58" s="7">
        <f t="shared" si="19"/>
        <v>22795773.661004126</v>
      </c>
      <c r="V58" s="8">
        <f>V34</f>
        <v>5</v>
      </c>
      <c r="W58" s="8">
        <f>W34</f>
        <v>14</v>
      </c>
      <c r="X58" s="7">
        <f>X34*(1+IF(A58&lt;=15,3%,2%))</f>
        <v>1122</v>
      </c>
      <c r="Y58" s="7">
        <f>Y34*(1+IF(A58&lt;=15,3%,2%))</f>
        <v>147.9</v>
      </c>
      <c r="Z58" s="7">
        <f>Z34*(1+IF(A58&lt;=15,3%,2%))</f>
        <v>663</v>
      </c>
      <c r="AA58" s="7">
        <f t="shared" si="26"/>
        <v>165205.36663971221</v>
      </c>
      <c r="AB58" s="7">
        <f t="shared" si="27"/>
        <v>249240.22470714676</v>
      </c>
    </row>
    <row r="59" spans="1:28" x14ac:dyDescent="0.3">
      <c r="A59" s="8">
        <v>32</v>
      </c>
      <c r="B59" s="8">
        <f>B34</f>
        <v>44</v>
      </c>
      <c r="C59" s="7">
        <f t="shared" si="20"/>
        <v>1311181.0858997554</v>
      </c>
      <c r="D59" s="7">
        <f t="shared" si="21"/>
        <v>1201915.9954081092</v>
      </c>
      <c r="E59" s="7">
        <f t="shared" si="22"/>
        <v>792171.90606443549</v>
      </c>
      <c r="F59" s="7">
        <f t="shared" si="23"/>
        <v>878732.56216820714</v>
      </c>
      <c r="G59" s="7">
        <f t="shared" si="24"/>
        <v>4184001.5495405076</v>
      </c>
      <c r="H59" s="7">
        <f t="shared" si="5"/>
        <v>334720.12396324059</v>
      </c>
      <c r="I59" s="7">
        <f t="shared" si="6"/>
        <v>356477.35772899596</v>
      </c>
      <c r="J59" s="7">
        <f t="shared" si="7"/>
        <v>420670.5983928382</v>
      </c>
      <c r="K59" s="7">
        <f t="shared" si="8"/>
        <v>369067.67611064698</v>
      </c>
      <c r="L59" s="7">
        <f t="shared" si="9"/>
        <v>334720.12396324059</v>
      </c>
      <c r="M59" s="7">
        <f t="shared" si="10"/>
        <v>418400.15495405078</v>
      </c>
      <c r="N59" s="7">
        <f t="shared" si="11"/>
        <v>251040.09297243046</v>
      </c>
      <c r="O59" s="7">
        <f t="shared" si="12"/>
        <v>146440.05423391779</v>
      </c>
      <c r="P59" s="7">
        <f t="shared" si="13"/>
        <v>254474.26942599681</v>
      </c>
      <c r="Q59" s="7">
        <f t="shared" si="14"/>
        <v>2886010.4517453583</v>
      </c>
      <c r="R59" s="7">
        <f t="shared" si="15"/>
        <v>1297991.0977951493</v>
      </c>
      <c r="S59" s="7">
        <f t="shared" si="25"/>
        <v>35000</v>
      </c>
      <c r="T59" s="7">
        <f t="shared" si="16"/>
        <v>1262991.0977951493</v>
      </c>
      <c r="U59" s="7">
        <f t="shared" si="19"/>
        <v>24058764.758799277</v>
      </c>
      <c r="V59" s="8">
        <f>V34</f>
        <v>5</v>
      </c>
      <c r="W59" s="8">
        <f>W34</f>
        <v>14</v>
      </c>
      <c r="X59" s="7">
        <f>X34*(1+IF(A59&lt;=15,3%,2%))</f>
        <v>1122</v>
      </c>
      <c r="Y59" s="7">
        <f>Y34*(1+IF(A59&lt;=15,3%,2%))</f>
        <v>147.9</v>
      </c>
      <c r="Z59" s="7">
        <f>Z34*(1+IF(A59&lt;=15,3%,2%))</f>
        <v>663</v>
      </c>
      <c r="AA59" s="7">
        <f t="shared" si="26"/>
        <v>168509.47397250647</v>
      </c>
      <c r="AB59" s="7">
        <f t="shared" si="27"/>
        <v>254474.26942599681</v>
      </c>
    </row>
    <row r="60" spans="1:28" x14ac:dyDescent="0.3">
      <c r="A60" s="8">
        <v>33</v>
      </c>
      <c r="B60" s="8">
        <f>B34</f>
        <v>44</v>
      </c>
      <c r="C60" s="7">
        <f t="shared" si="20"/>
        <v>1337404.7076177504</v>
      </c>
      <c r="D60" s="7">
        <f t="shared" si="21"/>
        <v>1225954.3153162715</v>
      </c>
      <c r="E60" s="7">
        <f t="shared" si="22"/>
        <v>808015.34418572416</v>
      </c>
      <c r="F60" s="7">
        <f t="shared" si="23"/>
        <v>896307.21341157134</v>
      </c>
      <c r="G60" s="7">
        <f t="shared" si="24"/>
        <v>4267681.5805313177</v>
      </c>
      <c r="H60" s="7">
        <f t="shared" si="5"/>
        <v>341414.52644250542</v>
      </c>
      <c r="I60" s="7">
        <f t="shared" si="6"/>
        <v>363606.90488357586</v>
      </c>
      <c r="J60" s="7">
        <f t="shared" si="7"/>
        <v>429084.01036069501</v>
      </c>
      <c r="K60" s="7">
        <f t="shared" si="8"/>
        <v>376449.02963285992</v>
      </c>
      <c r="L60" s="7">
        <f t="shared" si="9"/>
        <v>341414.52644250542</v>
      </c>
      <c r="M60" s="7">
        <f t="shared" si="10"/>
        <v>426768.15805313177</v>
      </c>
      <c r="N60" s="7">
        <f t="shared" si="11"/>
        <v>256060.89483187906</v>
      </c>
      <c r="O60" s="7">
        <f t="shared" si="12"/>
        <v>149368.85531859612</v>
      </c>
      <c r="P60" s="7">
        <f t="shared" si="13"/>
        <v>259818.22908394272</v>
      </c>
      <c r="Q60" s="7">
        <f t="shared" si="14"/>
        <v>2943985.1350496914</v>
      </c>
      <c r="R60" s="7">
        <f t="shared" si="15"/>
        <v>1323696.4454816263</v>
      </c>
      <c r="S60" s="7">
        <f t="shared" si="25"/>
        <v>35000</v>
      </c>
      <c r="T60" s="7">
        <f t="shared" si="16"/>
        <v>1288696.4454816263</v>
      </c>
      <c r="U60" s="7">
        <f t="shared" si="19"/>
        <v>25347461.204280905</v>
      </c>
      <c r="V60" s="8">
        <f>V34</f>
        <v>5</v>
      </c>
      <c r="W60" s="8">
        <f>W34</f>
        <v>14</v>
      </c>
      <c r="X60" s="7">
        <f>X34*(1+IF(A60&lt;=15,3%,2%))</f>
        <v>1122</v>
      </c>
      <c r="Y60" s="7">
        <f>Y34*(1+IF(A60&lt;=15,3%,2%))</f>
        <v>147.9</v>
      </c>
      <c r="Z60" s="7">
        <f>Z34*(1+IF(A60&lt;=15,3%,2%))</f>
        <v>663</v>
      </c>
      <c r="AA60" s="7">
        <f t="shared" si="26"/>
        <v>171879.66345195661</v>
      </c>
      <c r="AB60" s="7">
        <f t="shared" si="27"/>
        <v>259818.22908394272</v>
      </c>
    </row>
    <row r="61" spans="1:28" x14ac:dyDescent="0.3">
      <c r="A61" s="8">
        <v>34</v>
      </c>
      <c r="B61" s="8">
        <f>B34</f>
        <v>44</v>
      </c>
      <c r="C61" s="7">
        <f t="shared" si="20"/>
        <v>1364152.8017701053</v>
      </c>
      <c r="D61" s="7">
        <f t="shared" si="21"/>
        <v>1250473.4016225969</v>
      </c>
      <c r="E61" s="7">
        <f t="shared" si="22"/>
        <v>824175.65106943867</v>
      </c>
      <c r="F61" s="7">
        <f t="shared" si="23"/>
        <v>914233.35767980269</v>
      </c>
      <c r="G61" s="7">
        <f t="shared" si="24"/>
        <v>4353035.2121419441</v>
      </c>
      <c r="H61" s="7">
        <f t="shared" si="5"/>
        <v>348242.81697135553</v>
      </c>
      <c r="I61" s="7">
        <f t="shared" si="6"/>
        <v>370879.04298124742</v>
      </c>
      <c r="J61" s="7">
        <f t="shared" si="7"/>
        <v>437665.69056790887</v>
      </c>
      <c r="K61" s="7">
        <f t="shared" si="8"/>
        <v>383978.01022551709</v>
      </c>
      <c r="L61" s="7">
        <f t="shared" si="9"/>
        <v>348242.81697135553</v>
      </c>
      <c r="M61" s="7">
        <f t="shared" si="10"/>
        <v>435303.52121419442</v>
      </c>
      <c r="N61" s="7">
        <f t="shared" si="11"/>
        <v>261182.11272851663</v>
      </c>
      <c r="O61" s="7">
        <f t="shared" si="12"/>
        <v>152356.23242496807</v>
      </c>
      <c r="P61" s="7">
        <f t="shared" si="13"/>
        <v>265274.4118947055</v>
      </c>
      <c r="Q61" s="7">
        <f t="shared" si="14"/>
        <v>3003124.6559797693</v>
      </c>
      <c r="R61" s="7">
        <f t="shared" si="15"/>
        <v>1349910.5561621748</v>
      </c>
      <c r="S61" s="7">
        <f t="shared" si="25"/>
        <v>35000</v>
      </c>
      <c r="T61" s="7">
        <f t="shared" si="16"/>
        <v>1314910.5561621748</v>
      </c>
      <c r="U61" s="7">
        <f t="shared" si="19"/>
        <v>26662371.76044308</v>
      </c>
      <c r="V61" s="8">
        <f>V34</f>
        <v>5</v>
      </c>
      <c r="W61" s="8">
        <f>W34</f>
        <v>14</v>
      </c>
      <c r="X61" s="7">
        <f>X34*(1+IF(A61&lt;=15,3%,2%))</f>
        <v>1122</v>
      </c>
      <c r="Y61" s="7">
        <f>Y34*(1+IF(A61&lt;=15,3%,2%))</f>
        <v>147.9</v>
      </c>
      <c r="Z61" s="7">
        <f>Z34*(1+IF(A61&lt;=15,3%,2%))</f>
        <v>663</v>
      </c>
      <c r="AA61" s="7">
        <f t="shared" si="26"/>
        <v>175317.25672099576</v>
      </c>
      <c r="AB61" s="7">
        <f t="shared" si="27"/>
        <v>265274.4118947055</v>
      </c>
    </row>
    <row r="62" spans="1:28" x14ac:dyDescent="0.3">
      <c r="A62" s="8">
        <v>35</v>
      </c>
      <c r="B62" s="8">
        <f>B34</f>
        <v>44</v>
      </c>
      <c r="C62" s="7">
        <f t="shared" si="20"/>
        <v>1391435.8578055073</v>
      </c>
      <c r="D62" s="7">
        <f t="shared" si="21"/>
        <v>1275482.8696550487</v>
      </c>
      <c r="E62" s="7">
        <f t="shared" si="22"/>
        <v>840659.16409082734</v>
      </c>
      <c r="F62" s="7">
        <f t="shared" si="23"/>
        <v>932518.02483339864</v>
      </c>
      <c r="G62" s="7">
        <f t="shared" si="24"/>
        <v>4440095.9163847826</v>
      </c>
      <c r="H62" s="7">
        <f t="shared" si="5"/>
        <v>355207.67331078264</v>
      </c>
      <c r="I62" s="7">
        <f t="shared" si="6"/>
        <v>378296.62384087231</v>
      </c>
      <c r="J62" s="7">
        <f t="shared" si="7"/>
        <v>446419.00437926705</v>
      </c>
      <c r="K62" s="7">
        <f t="shared" si="8"/>
        <v>391657.57043002744</v>
      </c>
      <c r="L62" s="7">
        <f t="shared" si="9"/>
        <v>355207.67331078264</v>
      </c>
      <c r="M62" s="7">
        <f t="shared" si="10"/>
        <v>444009.59163847828</v>
      </c>
      <c r="N62" s="7">
        <f t="shared" si="11"/>
        <v>266405.75498308695</v>
      </c>
      <c r="O62" s="7">
        <f t="shared" si="12"/>
        <v>155403.3570734674</v>
      </c>
      <c r="P62" s="7">
        <f t="shared" si="13"/>
        <v>270845.17454449431</v>
      </c>
      <c r="Q62" s="7">
        <f t="shared" si="14"/>
        <v>3063452.4235112593</v>
      </c>
      <c r="R62" s="7">
        <f t="shared" si="15"/>
        <v>1376643.4928735234</v>
      </c>
      <c r="S62" s="7">
        <f t="shared" si="25"/>
        <v>110000</v>
      </c>
      <c r="T62" s="7">
        <f t="shared" si="16"/>
        <v>1266643.4928735234</v>
      </c>
      <c r="U62" s="7">
        <f t="shared" si="19"/>
        <v>27929015.253316604</v>
      </c>
      <c r="V62" s="8">
        <f>V34</f>
        <v>5</v>
      </c>
      <c r="W62" s="8">
        <f>W34</f>
        <v>14</v>
      </c>
      <c r="X62" s="7">
        <f>X34*(1+IF(A62&lt;=15,3%,2%))</f>
        <v>1122</v>
      </c>
      <c r="Y62" s="7">
        <f>Y34*(1+IF(A62&lt;=15,3%,2%))</f>
        <v>147.9</v>
      </c>
      <c r="Z62" s="7">
        <f>Z34*(1+IF(A62&lt;=15,3%,2%))</f>
        <v>663</v>
      </c>
      <c r="AA62" s="7">
        <f t="shared" si="26"/>
        <v>178823.60185541568</v>
      </c>
      <c r="AB62" s="7">
        <f t="shared" si="27"/>
        <v>270845.17454449431</v>
      </c>
    </row>
    <row r="67" spans="1:37" x14ac:dyDescent="0.3">
      <c r="A67" s="2" t="s">
        <v>76</v>
      </c>
    </row>
    <row r="68" spans="1:37" x14ac:dyDescent="0.3">
      <c r="A68" s="11" t="s">
        <v>77</v>
      </c>
      <c r="B68" s="7">
        <f>-$B$19</f>
        <v>-3112750</v>
      </c>
      <c r="C68" s="7">
        <f>T28</f>
        <v>142965</v>
      </c>
      <c r="D68" s="7">
        <f>T29</f>
        <v>257001.44999999995</v>
      </c>
      <c r="E68" s="7">
        <f>T30</f>
        <v>356686.00000000012</v>
      </c>
      <c r="F68" s="7">
        <f>T31</f>
        <v>478922.40000000014</v>
      </c>
      <c r="G68" s="7">
        <f>T32</f>
        <v>574366</v>
      </c>
      <c r="H68" s="7">
        <f>T33</f>
        <v>605130.60000000009</v>
      </c>
      <c r="I68" s="7">
        <f>T34</f>
        <v>701923</v>
      </c>
      <c r="J68" s="7">
        <f>T35</f>
        <v>719167.29999999981</v>
      </c>
      <c r="K68" s="7">
        <f>T36</f>
        <v>742086.95407999982</v>
      </c>
      <c r="L68" s="7">
        <f>T37</f>
        <v>570702.44756464008</v>
      </c>
      <c r="M68" s="7">
        <f>T38</f>
        <v>790034.8866299619</v>
      </c>
      <c r="N68" s="7">
        <f>T39</f>
        <v>815106.01710511814</v>
      </c>
      <c r="O68" s="7">
        <f>T40</f>
        <v>840938.24384306464</v>
      </c>
      <c r="P68" s="7">
        <f>T41</f>
        <v>867554.65067744302</v>
      </c>
      <c r="Q68" s="7">
        <f>T42</f>
        <v>819979.02098338795</v>
      </c>
      <c r="R68" s="7">
        <f>T43</f>
        <v>913399.86777924653</v>
      </c>
      <c r="S68" s="7">
        <f>T44</f>
        <v>932185.3781049219</v>
      </c>
      <c r="T68" s="7">
        <f>T45</f>
        <v>951342.76640948281</v>
      </c>
      <c r="U68" s="7">
        <f>T46</f>
        <v>970879.38977572694</v>
      </c>
      <c r="V68" s="7">
        <f>T47</f>
        <v>795802.75073809503</v>
      </c>
      <c r="W68" s="7">
        <f>T48</f>
        <v>1011120.500156214</v>
      </c>
      <c r="X68" s="7">
        <f>T49</f>
        <v>1031840.4401451666</v>
      </c>
      <c r="Y68" s="7">
        <f>T50</f>
        <v>1052970.5270636003</v>
      </c>
      <c r="Z68" s="7">
        <f>T51</f>
        <v>1074518.8745608288</v>
      </c>
      <c r="AA68" s="7">
        <f>T52</f>
        <v>1021493.7566840765</v>
      </c>
      <c r="AB68" s="7">
        <f>T53</f>
        <v>1118903.6110470626</v>
      </c>
      <c r="AC68" s="7">
        <f>T54</f>
        <v>1141757.0420611235</v>
      </c>
      <c r="AD68" s="7">
        <f>T55</f>
        <v>1165062.824230121</v>
      </c>
      <c r="AE68" s="7">
        <f>T56</f>
        <v>1188829.9055103813</v>
      </c>
      <c r="AF68" s="7">
        <f>T57</f>
        <v>1018067.4107369562</v>
      </c>
      <c r="AG68" s="7">
        <f>T58</f>
        <v>1237784.6451175069</v>
      </c>
      <c r="AH68" s="7">
        <f>T59</f>
        <v>1262991.0977951493</v>
      </c>
      <c r="AI68" s="7">
        <f>T60</f>
        <v>1288696.4454816263</v>
      </c>
      <c r="AJ68" s="7">
        <f>T61</f>
        <v>1314910.5561621748</v>
      </c>
      <c r="AK68" s="7">
        <f>T62</f>
        <v>1266643.4928735234</v>
      </c>
    </row>
    <row r="70" spans="1:37" x14ac:dyDescent="0.3">
      <c r="A70" s="11" t="s">
        <v>78</v>
      </c>
      <c r="B70" s="7">
        <f>B68</f>
        <v>-3112750</v>
      </c>
      <c r="C70" s="7">
        <f t="shared" ref="C70:AK70" si="28">B70+C68</f>
        <v>-2969785</v>
      </c>
      <c r="D70" s="7">
        <f t="shared" si="28"/>
        <v>-2712783.55</v>
      </c>
      <c r="E70" s="7">
        <f t="shared" si="28"/>
        <v>-2356097.5499999998</v>
      </c>
      <c r="F70" s="7">
        <f t="shared" si="28"/>
        <v>-1877175.1499999997</v>
      </c>
      <c r="G70" s="7">
        <f t="shared" si="28"/>
        <v>-1302809.1499999997</v>
      </c>
      <c r="H70" s="7">
        <f t="shared" si="28"/>
        <v>-697678.54999999958</v>
      </c>
      <c r="I70" s="7">
        <f t="shared" si="28"/>
        <v>4244.4500000004191</v>
      </c>
      <c r="J70" s="7">
        <f t="shared" si="28"/>
        <v>723411.75000000023</v>
      </c>
      <c r="K70" s="7">
        <f t="shared" si="28"/>
        <v>1465498.7040800001</v>
      </c>
      <c r="L70" s="7">
        <f t="shared" si="28"/>
        <v>2036201.1516446401</v>
      </c>
      <c r="M70" s="7">
        <f t="shared" si="28"/>
        <v>2826236.038274602</v>
      </c>
      <c r="N70" s="7">
        <f t="shared" si="28"/>
        <v>3641342.0553797204</v>
      </c>
      <c r="O70" s="7">
        <f t="shared" si="28"/>
        <v>4482280.299222785</v>
      </c>
      <c r="P70" s="7">
        <f t="shared" si="28"/>
        <v>5349834.9499002285</v>
      </c>
      <c r="Q70" s="7">
        <f t="shared" si="28"/>
        <v>6169813.9708836162</v>
      </c>
      <c r="R70" s="7">
        <f t="shared" si="28"/>
        <v>7083213.8386628628</v>
      </c>
      <c r="S70" s="7">
        <f t="shared" si="28"/>
        <v>8015399.2167677842</v>
      </c>
      <c r="T70" s="7">
        <f t="shared" si="28"/>
        <v>8966741.983177267</v>
      </c>
      <c r="U70" s="7">
        <f t="shared" si="28"/>
        <v>9937621.372952994</v>
      </c>
      <c r="V70" s="7">
        <f t="shared" si="28"/>
        <v>10733424.123691089</v>
      </c>
      <c r="W70" s="7">
        <f t="shared" si="28"/>
        <v>11744544.623847304</v>
      </c>
      <c r="X70" s="7">
        <f t="shared" si="28"/>
        <v>12776385.063992471</v>
      </c>
      <c r="Y70" s="7">
        <f t="shared" si="28"/>
        <v>13829355.591056071</v>
      </c>
      <c r="Z70" s="7">
        <f t="shared" si="28"/>
        <v>14903874.4656169</v>
      </c>
      <c r="AA70" s="7">
        <f t="shared" si="28"/>
        <v>15925368.222300977</v>
      </c>
      <c r="AB70" s="7">
        <f t="shared" si="28"/>
        <v>17044271.83334804</v>
      </c>
      <c r="AC70" s="7">
        <f t="shared" si="28"/>
        <v>18186028.875409164</v>
      </c>
      <c r="AD70" s="7">
        <f t="shared" si="28"/>
        <v>19351091.699639283</v>
      </c>
      <c r="AE70" s="7">
        <f t="shared" si="28"/>
        <v>20539921.605149664</v>
      </c>
      <c r="AF70" s="7">
        <f t="shared" si="28"/>
        <v>21557989.01588662</v>
      </c>
      <c r="AG70" s="7">
        <f t="shared" si="28"/>
        <v>22795773.661004126</v>
      </c>
      <c r="AH70" s="7">
        <f t="shared" si="28"/>
        <v>24058764.758799277</v>
      </c>
      <c r="AI70" s="7">
        <f t="shared" si="28"/>
        <v>25347461.204280905</v>
      </c>
      <c r="AJ70" s="7">
        <f t="shared" si="28"/>
        <v>26662371.76044308</v>
      </c>
      <c r="AK70" s="7">
        <f t="shared" si="28"/>
        <v>27929015.253316604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Boutique Hotel</vt:lpstr>
      <vt:lpstr>Retreat Center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Maciej Kowalski</cp:lastModifiedBy>
  <dcterms:created xsi:type="dcterms:W3CDTF">2026-08-20T20:29:46Z</dcterms:created>
  <dcterms:modified xsi:type="dcterms:W3CDTF">2026-08-20T20:55:56Z</dcterms:modified>
</cp:coreProperties>
</file>